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leigh.coleman@dcr.virginia.gov\Desktop\"/>
    </mc:Choice>
  </mc:AlternateContent>
  <bookViews>
    <workbookView xWindow="120" yWindow="90" windowWidth="28635" windowHeight="12270"/>
  </bookViews>
  <sheets>
    <sheet name="Summary" sheetId="3" r:id="rId1"/>
    <sheet name="VelocityCalc" sheetId="1" r:id="rId2"/>
    <sheet name="Depth Calc" sheetId="2" r:id="rId3"/>
  </sheets>
  <definedNames>
    <definedName name="_xlnm.Print_Area" localSheetId="2">'Depth Calc'!$A$1:$U$19</definedName>
    <definedName name="_xlnm.Print_Area" localSheetId="1">VelocityCalc!$A$1:$U$22</definedName>
  </definedNames>
  <calcPr calcId="152511"/>
</workbook>
</file>

<file path=xl/calcChain.xml><?xml version="1.0" encoding="utf-8"?>
<calcChain xmlns="http://schemas.openxmlformats.org/spreadsheetml/2006/main">
  <c r="O19" i="2" l="1"/>
  <c r="O17" i="2"/>
  <c r="O16" i="2"/>
  <c r="O14" i="2"/>
  <c r="O13" i="2"/>
  <c r="O12" i="2"/>
  <c r="O11" i="2"/>
  <c r="O10" i="2"/>
  <c r="O5" i="2"/>
  <c r="O6" i="2"/>
  <c r="O7" i="2"/>
  <c r="O8" i="2"/>
  <c r="O4" i="2"/>
  <c r="T22" i="1"/>
  <c r="O22" i="1"/>
  <c r="J22" i="1"/>
  <c r="C22" i="1"/>
  <c r="D22" i="1" s="1"/>
  <c r="T20" i="1"/>
  <c r="O20" i="1"/>
  <c r="J20" i="1"/>
  <c r="C20" i="1"/>
  <c r="D20" i="1" s="1"/>
  <c r="T19" i="1"/>
  <c r="O19" i="1"/>
  <c r="J19" i="1"/>
  <c r="C19" i="1"/>
  <c r="T18" i="1"/>
  <c r="O18" i="1"/>
  <c r="J18" i="1"/>
  <c r="C18" i="1"/>
  <c r="T17" i="1"/>
  <c r="O17" i="1"/>
  <c r="J17" i="1"/>
  <c r="C17" i="1"/>
  <c r="D17" i="1" s="1"/>
  <c r="T16" i="1"/>
  <c r="O16" i="1"/>
  <c r="J16" i="1"/>
  <c r="C16" i="1"/>
  <c r="D16" i="1" s="1"/>
  <c r="T14" i="1"/>
  <c r="O14" i="1"/>
  <c r="J14" i="1"/>
  <c r="C14" i="1"/>
  <c r="D14" i="1" s="1"/>
  <c r="T13" i="1"/>
  <c r="O13" i="1"/>
  <c r="J13" i="1"/>
  <c r="C13" i="1"/>
  <c r="T12" i="1"/>
  <c r="O12" i="1"/>
  <c r="J12" i="1"/>
  <c r="C12" i="1"/>
  <c r="T11" i="1"/>
  <c r="O11" i="1"/>
  <c r="J11" i="1"/>
  <c r="C11" i="1"/>
  <c r="T10" i="1"/>
  <c r="O10" i="1"/>
  <c r="J10" i="1"/>
  <c r="C10" i="1"/>
  <c r="D10" i="1" s="1"/>
  <c r="T5" i="1"/>
  <c r="T6" i="1"/>
  <c r="T7" i="1"/>
  <c r="T8" i="1"/>
  <c r="O5" i="1"/>
  <c r="O6" i="1"/>
  <c r="O7" i="1"/>
  <c r="O8" i="1"/>
  <c r="C5" i="1"/>
  <c r="C6" i="1"/>
  <c r="C7" i="1"/>
  <c r="C8" i="1"/>
  <c r="C4" i="1"/>
  <c r="O4" i="1"/>
  <c r="T4" i="1"/>
  <c r="D21" i="3"/>
  <c r="D22" i="3"/>
  <c r="T10" i="2" s="1"/>
  <c r="J5" i="1"/>
  <c r="J6" i="1"/>
  <c r="J7" i="1"/>
  <c r="J8" i="1"/>
  <c r="J4" i="1"/>
  <c r="D17" i="3"/>
  <c r="J11" i="2" s="1"/>
  <c r="D20" i="3"/>
  <c r="L17" i="2" s="1"/>
  <c r="D6" i="3"/>
  <c r="L10" i="1" s="1"/>
  <c r="A5" i="1"/>
  <c r="A6" i="1" s="1"/>
  <c r="A7" i="1" s="1"/>
  <c r="L8" i="1" l="1"/>
  <c r="L12" i="1"/>
  <c r="Q12" i="1" s="1"/>
  <c r="L10" i="2"/>
  <c r="Q10" i="2" s="1"/>
  <c r="L13" i="1"/>
  <c r="Q13" i="1" s="1"/>
  <c r="T13" i="2"/>
  <c r="L5" i="1"/>
  <c r="L17" i="1"/>
  <c r="Q17" i="1" s="1"/>
  <c r="L6" i="1"/>
  <c r="L11" i="1"/>
  <c r="Q11" i="1" s="1"/>
  <c r="L7" i="1"/>
  <c r="L14" i="1"/>
  <c r="Q14" i="1" s="1"/>
  <c r="L20" i="1"/>
  <c r="Q20" i="1" s="1"/>
  <c r="T5" i="2"/>
  <c r="T11" i="2"/>
  <c r="J4" i="2"/>
  <c r="J12" i="2"/>
  <c r="J14" i="2"/>
  <c r="J17" i="2"/>
  <c r="J10" i="2"/>
  <c r="T16" i="2"/>
  <c r="T19" i="2"/>
  <c r="J5" i="2"/>
  <c r="L18" i="1"/>
  <c r="L22" i="1"/>
  <c r="Q22" i="1" s="1"/>
  <c r="T6" i="2"/>
  <c r="J6" i="2"/>
  <c r="L13" i="2"/>
  <c r="Q13" i="2" s="1"/>
  <c r="L16" i="2"/>
  <c r="Q16" i="2" s="1"/>
  <c r="L19" i="2"/>
  <c r="Q19" i="2" s="1"/>
  <c r="T7" i="2"/>
  <c r="J7" i="2"/>
  <c r="L11" i="2"/>
  <c r="Q11" i="2" s="1"/>
  <c r="J13" i="2"/>
  <c r="J16" i="2"/>
  <c r="J19" i="2"/>
  <c r="T8" i="2"/>
  <c r="J8" i="2"/>
  <c r="T12" i="2"/>
  <c r="T14" i="2"/>
  <c r="T17" i="2"/>
  <c r="L16" i="1"/>
  <c r="Q16" i="1" s="1"/>
  <c r="L19" i="1"/>
  <c r="Q19" i="1" s="1"/>
  <c r="T4" i="2"/>
  <c r="L4" i="1"/>
  <c r="Q4" i="1" s="1"/>
  <c r="L12" i="2"/>
  <c r="L14" i="2"/>
  <c r="R19" i="1"/>
  <c r="D19" i="1"/>
  <c r="Q17" i="2"/>
  <c r="Q12" i="2"/>
  <c r="Q14" i="2"/>
  <c r="R5" i="2"/>
  <c r="R6" i="2"/>
  <c r="R7" i="2"/>
  <c r="R8" i="2"/>
  <c r="L5" i="2"/>
  <c r="Q5" i="2" s="1"/>
  <c r="L6" i="2"/>
  <c r="Q6" i="2" s="1"/>
  <c r="L7" i="2"/>
  <c r="Q7" i="2" s="1"/>
  <c r="L8" i="2"/>
  <c r="Q8" i="2" s="1"/>
  <c r="L4" i="2"/>
  <c r="Q4" i="2" s="1"/>
  <c r="R4" i="2"/>
  <c r="D5" i="2"/>
  <c r="D4" i="2"/>
  <c r="R11" i="1"/>
  <c r="D11" i="1"/>
  <c r="R17" i="1"/>
  <c r="R13" i="1"/>
  <c r="D13" i="1"/>
  <c r="D12" i="1"/>
  <c r="D18" i="1"/>
  <c r="R22" i="1"/>
  <c r="R16" i="1"/>
  <c r="R18" i="1"/>
  <c r="R20" i="1"/>
  <c r="Q18" i="1"/>
  <c r="Q10" i="1"/>
  <c r="R10" i="1"/>
  <c r="R12" i="1"/>
  <c r="R14" i="1"/>
  <c r="R4" i="1"/>
  <c r="D4" i="1"/>
  <c r="E4" i="1"/>
  <c r="H4" i="1" s="1"/>
  <c r="D7" i="1"/>
  <c r="D6" i="2" l="1"/>
  <c r="Q5" i="1"/>
  <c r="B4" i="1"/>
  <c r="G4" i="1" s="1"/>
  <c r="D5" i="1"/>
  <c r="F4" i="1"/>
  <c r="E5" i="1"/>
  <c r="H5" i="1" s="1"/>
  <c r="K5" i="1" s="1"/>
  <c r="R5" i="1"/>
  <c r="E6" i="1"/>
  <c r="F6" i="1" s="1"/>
  <c r="E7" i="1"/>
  <c r="H7" i="1" s="1"/>
  <c r="R8" i="1"/>
  <c r="R7" i="1"/>
  <c r="R6" i="1"/>
  <c r="D6" i="1"/>
  <c r="D8" i="1"/>
  <c r="K4" i="1"/>
  <c r="I4" i="1"/>
  <c r="D7" i="2" l="1"/>
  <c r="Q6" i="1"/>
  <c r="B5" i="1"/>
  <c r="G5" i="1" s="1"/>
  <c r="I5" i="1"/>
  <c r="M5" i="1" s="1"/>
  <c r="N5" i="1" s="1"/>
  <c r="U5" i="1" s="1"/>
  <c r="F5" i="1"/>
  <c r="D8" i="2"/>
  <c r="I7" i="1"/>
  <c r="K7" i="1"/>
  <c r="E8" i="1"/>
  <c r="H8" i="1" s="1"/>
  <c r="M4" i="1"/>
  <c r="N4" i="1" s="1"/>
  <c r="U4" i="1" s="1"/>
  <c r="H6" i="1"/>
  <c r="B6" i="1"/>
  <c r="G6" i="1" s="1"/>
  <c r="F7" i="1"/>
  <c r="B7" i="1"/>
  <c r="G7" i="1" s="1"/>
  <c r="Q8" i="1" l="1"/>
  <c r="Q7" i="1"/>
  <c r="P5" i="1"/>
  <c r="S5" i="1" s="1"/>
  <c r="P4" i="1"/>
  <c r="S4" i="1" s="1"/>
  <c r="I8" i="1"/>
  <c r="K8" i="1"/>
  <c r="I6" i="1"/>
  <c r="K6" i="1"/>
  <c r="F8" i="1"/>
  <c r="B8" i="1"/>
  <c r="G8" i="1" s="1"/>
  <c r="M7" i="1"/>
  <c r="N7" i="1" s="1"/>
  <c r="U7" i="1" s="1"/>
  <c r="P7" i="1" l="1"/>
  <c r="S7" i="1" s="1"/>
  <c r="M6" i="1"/>
  <c r="N6" i="1" s="1"/>
  <c r="U6" i="1" s="1"/>
  <c r="M8" i="1"/>
  <c r="N8" i="1" s="1"/>
  <c r="U8" i="1" s="1"/>
  <c r="P8" i="1" l="1"/>
  <c r="S8" i="1" s="1"/>
  <c r="P6" i="1"/>
  <c r="S6" i="1" s="1"/>
  <c r="A10" i="1" l="1"/>
  <c r="E10" i="1" s="1"/>
  <c r="B10" i="1" l="1"/>
  <c r="G10" i="1" s="1"/>
  <c r="H10" i="1"/>
  <c r="F10" i="1"/>
  <c r="A11" i="1"/>
  <c r="E11" i="1" s="1"/>
  <c r="K10" i="1" l="1"/>
  <c r="I10" i="1"/>
  <c r="F11" i="1"/>
  <c r="H11" i="1"/>
  <c r="B11" i="1"/>
  <c r="G11" i="1" s="1"/>
  <c r="A12" i="1"/>
  <c r="E12" i="1" s="1"/>
  <c r="M10" i="1" l="1"/>
  <c r="N10" i="1" s="1"/>
  <c r="I11" i="1"/>
  <c r="K11" i="1"/>
  <c r="F12" i="1"/>
  <c r="H12" i="1"/>
  <c r="B12" i="1"/>
  <c r="G12" i="1" s="1"/>
  <c r="A13" i="1"/>
  <c r="E13" i="1" s="1"/>
  <c r="P10" i="1" l="1"/>
  <c r="S10" i="1" s="1"/>
  <c r="U10" i="1"/>
  <c r="F13" i="1"/>
  <c r="H13" i="1"/>
  <c r="B13" i="1"/>
  <c r="G13" i="1" s="1"/>
  <c r="K12" i="1"/>
  <c r="I12" i="1"/>
  <c r="M11" i="1"/>
  <c r="N11" i="1" s="1"/>
  <c r="A14" i="1"/>
  <c r="E14" i="1" s="1"/>
  <c r="P11" i="1" l="1"/>
  <c r="S11" i="1" s="1"/>
  <c r="U11" i="1"/>
  <c r="M12" i="1"/>
  <c r="N12" i="1" s="1"/>
  <c r="K13" i="1"/>
  <c r="I13" i="1"/>
  <c r="F14" i="1"/>
  <c r="H14" i="1"/>
  <c r="B14" i="1"/>
  <c r="G14" i="1" s="1"/>
  <c r="P12" i="1" l="1"/>
  <c r="S12" i="1" s="1"/>
  <c r="U12" i="1"/>
  <c r="M13" i="1"/>
  <c r="N13" i="1" s="1"/>
  <c r="U13" i="1" s="1"/>
  <c r="I14" i="1"/>
  <c r="K14" i="1"/>
  <c r="P13" i="1" l="1"/>
  <c r="S13" i="1" s="1"/>
  <c r="M14" i="1"/>
  <c r="N14" i="1" s="1"/>
  <c r="U14" i="1" s="1"/>
  <c r="P14" i="1" l="1"/>
  <c r="S14" i="1" s="1"/>
  <c r="A16" i="1" s="1"/>
  <c r="E16" i="1" l="1"/>
  <c r="A17" i="1"/>
  <c r="E17" i="1" l="1"/>
  <c r="A18" i="1"/>
  <c r="H16" i="1"/>
  <c r="F16" i="1"/>
  <c r="B16" i="1"/>
  <c r="G16" i="1" s="1"/>
  <c r="F17" i="1" l="1"/>
  <c r="H17" i="1"/>
  <c r="B17" i="1"/>
  <c r="G17" i="1" s="1"/>
  <c r="E18" i="1"/>
  <c r="A19" i="1"/>
  <c r="K16" i="1"/>
  <c r="I16" i="1"/>
  <c r="M16" i="1" l="1"/>
  <c r="N16" i="1" s="1"/>
  <c r="I17" i="1"/>
  <c r="K17" i="1"/>
  <c r="F18" i="1"/>
  <c r="H18" i="1"/>
  <c r="B18" i="1"/>
  <c r="G18" i="1" s="1"/>
  <c r="E19" i="1"/>
  <c r="A20" i="1"/>
  <c r="E20" i="1" s="1"/>
  <c r="P16" i="1" l="1"/>
  <c r="S16" i="1" s="1"/>
  <c r="U16" i="1"/>
  <c r="I18" i="1"/>
  <c r="K18" i="1"/>
  <c r="F19" i="1"/>
  <c r="H19" i="1"/>
  <c r="B19" i="1"/>
  <c r="G19" i="1" s="1"/>
  <c r="F20" i="1"/>
  <c r="B20" i="1"/>
  <c r="G20" i="1" s="1"/>
  <c r="H20" i="1"/>
  <c r="M17" i="1"/>
  <c r="N17" i="1" s="1"/>
  <c r="P17" i="1" l="1"/>
  <c r="S17" i="1" s="1"/>
  <c r="U17" i="1"/>
  <c r="K20" i="1"/>
  <c r="I20" i="1"/>
  <c r="K19" i="1"/>
  <c r="I19" i="1"/>
  <c r="M18" i="1"/>
  <c r="N18" i="1" s="1"/>
  <c r="U18" i="1" s="1"/>
  <c r="M19" i="1" l="1"/>
  <c r="N19" i="1" s="1"/>
  <c r="U19" i="1" s="1"/>
  <c r="P18" i="1"/>
  <c r="S18" i="1" s="1"/>
  <c r="M20" i="1"/>
  <c r="N20" i="1" s="1"/>
  <c r="U20" i="1" s="1"/>
  <c r="P19" i="1" l="1"/>
  <c r="S19" i="1" s="1"/>
  <c r="A22" i="1" s="1"/>
  <c r="P20" i="1"/>
  <c r="S20" i="1" s="1"/>
  <c r="E22" i="1" l="1"/>
  <c r="B22" i="1" s="1"/>
  <c r="H22" i="1" l="1"/>
  <c r="I22" i="1" s="1"/>
  <c r="F22" i="1"/>
  <c r="G22" i="1"/>
  <c r="K22" i="1" l="1"/>
  <c r="M22" i="1" s="1"/>
  <c r="N22" i="1" s="1"/>
  <c r="P22" i="1" l="1"/>
  <c r="S22" i="1" s="1"/>
  <c r="U22" i="1"/>
  <c r="D12" i="3" l="1"/>
  <c r="A13" i="2" s="1"/>
  <c r="D24" i="3" l="1"/>
  <c r="A10" i="2"/>
  <c r="A16" i="2"/>
  <c r="A5" i="2"/>
  <c r="E5" i="2" s="1"/>
  <c r="F5" i="2" s="1"/>
  <c r="A12" i="2"/>
  <c r="A4" i="2"/>
  <c r="E4" i="2" s="1"/>
  <c r="H4" i="2" s="1"/>
  <c r="A19" i="2"/>
  <c r="L17" i="3" s="1"/>
  <c r="A8" i="2"/>
  <c r="E8" i="2" s="1"/>
  <c r="H8" i="2" s="1"/>
  <c r="A14" i="2"/>
  <c r="A7" i="2"/>
  <c r="E7" i="2" s="1"/>
  <c r="B7" i="2" s="1"/>
  <c r="G7" i="2" s="1"/>
  <c r="A11" i="2"/>
  <c r="A6" i="2"/>
  <c r="E6" i="2" s="1"/>
  <c r="F6" i="2" s="1"/>
  <c r="A17" i="2"/>
  <c r="F8" i="2" l="1"/>
  <c r="B4" i="2"/>
  <c r="G4" i="2" s="1"/>
  <c r="H7" i="2"/>
  <c r="K7" i="2" s="1"/>
  <c r="F7" i="2"/>
  <c r="H5" i="2"/>
  <c r="I5" i="2" s="1"/>
  <c r="H6" i="2"/>
  <c r="K6" i="2" s="1"/>
  <c r="B5" i="2"/>
  <c r="G5" i="2" s="1"/>
  <c r="F4" i="2"/>
  <c r="B6" i="2"/>
  <c r="G6" i="2" s="1"/>
  <c r="B8" i="2"/>
  <c r="G8" i="2" s="1"/>
  <c r="I4" i="2"/>
  <c r="K4" i="2"/>
  <c r="I8" i="2"/>
  <c r="K8" i="2"/>
  <c r="I7" i="2" l="1"/>
  <c r="M7" i="2" s="1"/>
  <c r="N7" i="2" s="1"/>
  <c r="K5" i="2"/>
  <c r="M5" i="2" s="1"/>
  <c r="N5" i="2" s="1"/>
  <c r="I6" i="2"/>
  <c r="M6" i="2" s="1"/>
  <c r="N6" i="2" s="1"/>
  <c r="M4" i="2"/>
  <c r="N4" i="2" s="1"/>
  <c r="M8" i="2"/>
  <c r="N8" i="2" s="1"/>
  <c r="U6" i="2" l="1"/>
  <c r="P6" i="2"/>
  <c r="S6" i="2" s="1"/>
  <c r="U8" i="2"/>
  <c r="P8" i="2"/>
  <c r="S8" i="2" s="1"/>
  <c r="U5" i="2"/>
  <c r="P5" i="2"/>
  <c r="S5" i="2" s="1"/>
  <c r="U7" i="2"/>
  <c r="P7" i="2"/>
  <c r="S7" i="2" s="1"/>
  <c r="U4" i="2"/>
  <c r="P4" i="2"/>
  <c r="S4" i="2" s="1"/>
  <c r="C10" i="2" l="1"/>
  <c r="E10" i="2" s="1"/>
  <c r="D10" i="2" l="1"/>
  <c r="B10" i="2" s="1"/>
  <c r="G10" i="2" s="1"/>
  <c r="R10" i="2"/>
  <c r="C11" i="2"/>
  <c r="D11" i="2" s="1"/>
  <c r="F10" i="2"/>
  <c r="H10" i="2"/>
  <c r="R11" i="2" l="1"/>
  <c r="C12" i="2"/>
  <c r="R12" i="2" s="1"/>
  <c r="E11" i="2"/>
  <c r="F11" i="2" s="1"/>
  <c r="K10" i="2"/>
  <c r="I10" i="2"/>
  <c r="H11" i="2" l="1"/>
  <c r="K11" i="2" s="1"/>
  <c r="E12" i="2"/>
  <c r="H12" i="2" s="1"/>
  <c r="I12" i="2" s="1"/>
  <c r="B11" i="2"/>
  <c r="G11" i="2" s="1"/>
  <c r="D12" i="2"/>
  <c r="C13" i="2"/>
  <c r="R13" i="2" s="1"/>
  <c r="M10" i="2"/>
  <c r="N10" i="2" s="1"/>
  <c r="F12" i="2" l="1"/>
  <c r="I11" i="2"/>
  <c r="M11" i="2" s="1"/>
  <c r="N11" i="2" s="1"/>
  <c r="K12" i="2"/>
  <c r="M12" i="2" s="1"/>
  <c r="N12" i="2" s="1"/>
  <c r="B12" i="2"/>
  <c r="G12" i="2" s="1"/>
  <c r="C14" i="2"/>
  <c r="D14" i="2" s="1"/>
  <c r="D13" i="2"/>
  <c r="E13" i="2"/>
  <c r="F13" i="2" s="1"/>
  <c r="P10" i="2"/>
  <c r="S10" i="2" s="1"/>
  <c r="U10" i="2"/>
  <c r="H13" i="2" l="1"/>
  <c r="I13" i="2" s="1"/>
  <c r="B13" i="2"/>
  <c r="G13" i="2" s="1"/>
  <c r="R14" i="2"/>
  <c r="E14" i="2"/>
  <c r="F14" i="2" s="1"/>
  <c r="P11" i="2"/>
  <c r="S11" i="2" s="1"/>
  <c r="U11" i="2"/>
  <c r="P12" i="2"/>
  <c r="S12" i="2" s="1"/>
  <c r="U12" i="2"/>
  <c r="K13" i="2" l="1"/>
  <c r="M13" i="2" s="1"/>
  <c r="N13" i="2" s="1"/>
  <c r="B14" i="2"/>
  <c r="G14" i="2" s="1"/>
  <c r="H14" i="2"/>
  <c r="I14" i="2" s="1"/>
  <c r="K14" i="2" l="1"/>
  <c r="M14" i="2" s="1"/>
  <c r="N14" i="2" s="1"/>
  <c r="P13" i="2"/>
  <c r="S13" i="2" s="1"/>
  <c r="U13" i="2"/>
  <c r="P14" i="2" l="1"/>
  <c r="S14" i="2" s="1"/>
  <c r="C16" i="2" s="1"/>
  <c r="U14" i="2"/>
  <c r="R16" i="2" l="1"/>
  <c r="D16" i="2"/>
  <c r="C17" i="2"/>
  <c r="E16" i="2"/>
  <c r="H16" i="2" s="1"/>
  <c r="B16" i="2" l="1"/>
  <c r="G16" i="2" s="1"/>
  <c r="D17" i="2"/>
  <c r="R17" i="2"/>
  <c r="E17" i="2"/>
  <c r="I16" i="2"/>
  <c r="K16" i="2"/>
  <c r="F16" i="2"/>
  <c r="B17" i="2" l="1"/>
  <c r="G17" i="2" s="1"/>
  <c r="H17" i="2"/>
  <c r="F17" i="2"/>
  <c r="M16" i="2"/>
  <c r="N16" i="2" s="1"/>
  <c r="I17" i="2" l="1"/>
  <c r="K17" i="2"/>
  <c r="P16" i="2"/>
  <c r="S16" i="2" s="1"/>
  <c r="U16" i="2"/>
  <c r="M17" i="2" l="1"/>
  <c r="N17" i="2" s="1"/>
  <c r="P17" i="2" l="1"/>
  <c r="S17" i="2" s="1"/>
  <c r="C19" i="2" s="1"/>
  <c r="U17" i="2"/>
  <c r="E19" i="2" l="1"/>
  <c r="D19" i="2"/>
  <c r="R19" i="2"/>
  <c r="D26" i="3" s="1"/>
  <c r="L18" i="3"/>
  <c r="H19" i="2" l="1"/>
  <c r="F19" i="2"/>
  <c r="L19" i="3" s="1"/>
  <c r="B19" i="2"/>
  <c r="L10" i="3" s="1"/>
  <c r="L11" i="3"/>
  <c r="G19" i="2" l="1"/>
  <c r="L12" i="3" s="1"/>
  <c r="I19" i="2"/>
  <c r="K19" i="2"/>
  <c r="M19" i="2" l="1"/>
  <c r="N19" i="2" s="1"/>
  <c r="P19" i="2" l="1"/>
  <c r="S19" i="2" s="1"/>
  <c r="U19" i="2"/>
</calcChain>
</file>

<file path=xl/comments1.xml><?xml version="1.0" encoding="utf-8"?>
<comments xmlns="http://schemas.openxmlformats.org/spreadsheetml/2006/main">
  <authors>
    <author>anton.schaeffer</author>
  </authors>
  <commentList>
    <comment ref="D3" authorId="0" shapeId="0">
      <text>
        <r>
          <rPr>
            <b/>
            <sz val="8"/>
            <color indexed="81"/>
            <rFont val="Tahoma"/>
            <charset val="1"/>
          </rPr>
          <t>anton.schaeffer:</t>
        </r>
        <r>
          <rPr>
            <sz val="8"/>
            <color indexed="81"/>
            <rFont val="Tahoma"/>
            <charset val="1"/>
          </rPr>
          <t xml:space="preserve">
Design Flow calculated by EFH2 or other accepted method.
</t>
        </r>
      </text>
    </comment>
    <comment ref="D4" authorId="0" shapeId="0">
      <text>
        <r>
          <rPr>
            <b/>
            <sz val="8"/>
            <color indexed="81"/>
            <rFont val="Tahoma"/>
            <family val="2"/>
          </rPr>
          <t>anton.schaeffer:</t>
        </r>
        <r>
          <rPr>
            <sz val="8"/>
            <color indexed="81"/>
            <rFont val="Tahoma"/>
            <family val="2"/>
          </rPr>
          <t xml:space="preserve">
Should be the average slope of the channel or the maximum slope of the channel.
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anton.schaeffer:</t>
        </r>
        <r>
          <rPr>
            <sz val="8"/>
            <color indexed="81"/>
            <rFont val="Tahoma"/>
            <family val="2"/>
          </rPr>
          <t xml:space="preserve">
Normally D, refer to EFH Part 650 Chapter 7 Grassed Waterways for guidance.
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anton.schaeffer:</t>
        </r>
        <r>
          <rPr>
            <sz val="8"/>
            <color indexed="81"/>
            <rFont val="Tahoma"/>
            <family val="2"/>
          </rPr>
          <t xml:space="preserve">
Refer to EFH Part 650 Chapter 7 Grassed Waterways for guidance.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anton.schaeffer:</t>
        </r>
        <r>
          <rPr>
            <sz val="8"/>
            <color indexed="81"/>
            <rFont val="Tahoma"/>
            <family val="2"/>
          </rPr>
          <t xml:space="preserve">
Refer to EFH Part 650 Chapter 7 Grassed Waterways for guidance.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anton.schaeffer:</t>
        </r>
        <r>
          <rPr>
            <sz val="8"/>
            <color indexed="81"/>
            <rFont val="Tahoma"/>
            <family val="2"/>
          </rPr>
          <t xml:space="preserve">
Try increasing depths by 0.01 feet until "Decrease Depth" reads in the Calculated Top Width box.</t>
        </r>
      </text>
    </comment>
    <comment ref="L12" authorId="0" shapeId="0">
      <text>
        <r>
          <rPr>
            <b/>
            <sz val="8"/>
            <color indexed="81"/>
            <rFont val="Tahoma"/>
            <charset val="1"/>
          </rPr>
          <t>anton.schaeffer:</t>
        </r>
        <r>
          <rPr>
            <sz val="8"/>
            <color indexed="81"/>
            <rFont val="Tahoma"/>
            <charset val="1"/>
          </rPr>
          <t xml:space="preserve">
If side slope is too steep, decrease Trial Depth until an acceptable slope is reached.
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anton.schaeffer:</t>
        </r>
        <r>
          <rPr>
            <sz val="8"/>
            <color indexed="81"/>
            <rFont val="Tahoma"/>
            <family val="2"/>
          </rPr>
          <t xml:space="preserve">
Complete this section only after the Velocity/Stress Check section is complete.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anton.schaeffer:</t>
        </r>
        <r>
          <rPr>
            <sz val="8"/>
            <color indexed="81"/>
            <rFont val="Tahoma"/>
            <family val="2"/>
          </rPr>
          <t xml:space="preserve">
Should be the average slope of the channel or the minimum slope of the channel.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anton.schaeffer:</t>
        </r>
        <r>
          <rPr>
            <sz val="8"/>
            <color indexed="81"/>
            <rFont val="Tahoma"/>
            <family val="2"/>
          </rPr>
          <t xml:space="preserve">
Refer to EFH Part 650 Chapter 7 Grassed Waterways for guidance.</t>
        </r>
      </text>
    </comment>
    <comment ref="L19" authorId="0" shapeId="0">
      <text>
        <r>
          <rPr>
            <b/>
            <sz val="8"/>
            <color indexed="81"/>
            <rFont val="Tahoma"/>
            <charset val="1"/>
          </rPr>
          <t>anton.schaeffer:</t>
        </r>
        <r>
          <rPr>
            <sz val="8"/>
            <color indexed="81"/>
            <rFont val="Tahoma"/>
            <charset val="1"/>
          </rPr>
          <t xml:space="preserve">
If side slope is too steep, decrease Trial Depth until an acceptable slope is reached.
</t>
        </r>
      </text>
    </comment>
  </commentList>
</comments>
</file>

<file path=xl/sharedStrings.xml><?xml version="1.0" encoding="utf-8"?>
<sst xmlns="http://schemas.openxmlformats.org/spreadsheetml/2006/main" count="84" uniqueCount="44">
  <si>
    <t>A</t>
  </si>
  <si>
    <t>R</t>
  </si>
  <si>
    <t>D</t>
  </si>
  <si>
    <t>z</t>
  </si>
  <si>
    <t>Q</t>
  </si>
  <si>
    <t>n</t>
  </si>
  <si>
    <t>VR</t>
  </si>
  <si>
    <t>Vm</t>
  </si>
  <si>
    <t>Vt</t>
  </si>
  <si>
    <t>Tva</t>
  </si>
  <si>
    <t>T</t>
  </si>
  <si>
    <t>S</t>
  </si>
  <si>
    <t>Vm-Vt</t>
  </si>
  <si>
    <t>ap</t>
  </si>
  <si>
    <t>Dt</t>
  </si>
  <si>
    <t>Tf</t>
  </si>
  <si>
    <t>zf</t>
  </si>
  <si>
    <t>Depth Check</t>
  </si>
  <si>
    <t>Ta</t>
  </si>
  <si>
    <t>Te</t>
  </si>
  <si>
    <t>Velocity Check (Te&lt;Ta)</t>
  </si>
  <si>
    <t>SCS Retardance Class</t>
  </si>
  <si>
    <t>Retardance Curve Index, Ci</t>
  </si>
  <si>
    <t>Cover Factor, Cf</t>
  </si>
  <si>
    <t>Ci</t>
  </si>
  <si>
    <t>Allowable Stress, Ta</t>
  </si>
  <si>
    <t>Calculated Top Width, T (ft)</t>
  </si>
  <si>
    <t>Vegetal Stress Check</t>
  </si>
  <si>
    <t>Velocity/Stress Check</t>
  </si>
  <si>
    <t>Depth/Stress Check</t>
  </si>
  <si>
    <t>Design Flow, Q</t>
  </si>
  <si>
    <t>Channel Slope, S</t>
  </si>
  <si>
    <t>Trial Depth, D</t>
  </si>
  <si>
    <t>Trial Top Width, T</t>
  </si>
  <si>
    <t>cfs</t>
  </si>
  <si>
    <t>ft/ft</t>
  </si>
  <si>
    <r>
      <t>lb/ft</t>
    </r>
    <r>
      <rPr>
        <vertAlign val="superscript"/>
        <sz val="11"/>
        <color theme="1"/>
        <rFont val="Calibri"/>
        <family val="2"/>
        <scheme val="minor"/>
      </rPr>
      <t>2</t>
    </r>
  </si>
  <si>
    <t>ft</t>
  </si>
  <si>
    <t>Final Dimensions (with Freeboard)</t>
  </si>
  <si>
    <t>Final Dimensions (without Freeboard)</t>
  </si>
  <si>
    <t>Side Slope at D</t>
  </si>
  <si>
    <t>Total Top Width, T</t>
  </si>
  <si>
    <t>Total Depth, D</t>
  </si>
  <si>
    <t>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</si>
</sst>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7F7F7F"/>
      </right>
      <top/>
      <bottom/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4" borderId="1" applyNumberFormat="0" applyAlignment="0" applyProtection="0"/>
  </cellStyleXfs>
  <cellXfs count="49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0" fillId="0" borderId="0" xfId="0" applyBorder="1"/>
    <xf numFmtId="164" fontId="0" fillId="0" borderId="0" xfId="0" applyNumberFormat="1" applyBorder="1"/>
    <xf numFmtId="2" fontId="0" fillId="0" borderId="0" xfId="0" applyNumberFormat="1" applyBorder="1"/>
    <xf numFmtId="0" fontId="0" fillId="0" borderId="0" xfId="0" applyFill="1" applyBorder="1"/>
    <xf numFmtId="164" fontId="0" fillId="0" borderId="0" xfId="0" applyNumberFormat="1" applyFill="1" applyBorder="1"/>
    <xf numFmtId="2" fontId="0" fillId="0" borderId="0" xfId="0" applyNumberFormat="1" applyFill="1" applyBorder="1"/>
    <xf numFmtId="0" fontId="3" fillId="0" borderId="0" xfId="0" applyFont="1"/>
    <xf numFmtId="0" fontId="0" fillId="0" borderId="0" xfId="0" applyFont="1" applyFill="1"/>
    <xf numFmtId="0" fontId="1" fillId="3" borderId="1" xfId="1"/>
    <xf numFmtId="0" fontId="1" fillId="3" borderId="1" xfId="1" applyAlignment="1">
      <alignment horizontal="right"/>
    </xf>
    <xf numFmtId="2" fontId="0" fillId="0" borderId="0" xfId="0" applyNumberFormat="1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3" borderId="1" xfId="1" applyBorder="1"/>
    <xf numFmtId="0" fontId="0" fillId="0" borderId="9" xfId="0" applyBorder="1"/>
    <xf numFmtId="0" fontId="1" fillId="3" borderId="1" xfId="1" applyBorder="1" applyAlignment="1">
      <alignment horizontal="right"/>
    </xf>
    <xf numFmtId="2" fontId="2" fillId="4" borderId="1" xfId="2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4" borderId="1" xfId="2" applyBorder="1"/>
    <xf numFmtId="0" fontId="6" fillId="0" borderId="5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11" xfId="0" applyFont="1" applyBorder="1"/>
    <xf numFmtId="164" fontId="7" fillId="4" borderId="1" xfId="2" applyNumberFormat="1" applyFont="1" applyBorder="1"/>
    <xf numFmtId="2" fontId="7" fillId="4" borderId="1" xfId="2" applyNumberFormat="1" applyFont="1" applyBorder="1"/>
    <xf numFmtId="0" fontId="4" fillId="0" borderId="0" xfId="0" applyFont="1" applyBorder="1"/>
    <xf numFmtId="2" fontId="1" fillId="3" borderId="1" xfId="1" applyNumberFormat="1" applyBorder="1"/>
    <xf numFmtId="0" fontId="0" fillId="2" borderId="2" xfId="0" applyFill="1" applyBorder="1"/>
    <xf numFmtId="164" fontId="0" fillId="2" borderId="3" xfId="0" applyNumberFormat="1" applyFill="1" applyBorder="1"/>
    <xf numFmtId="0" fontId="0" fillId="2" borderId="3" xfId="0" applyFill="1" applyBorder="1"/>
    <xf numFmtId="2" fontId="0" fillId="2" borderId="3" xfId="0" applyNumberFormat="1" applyFill="1" applyBorder="1"/>
    <xf numFmtId="0" fontId="0" fillId="2" borderId="4" xfId="0" applyFill="1" applyBorder="1"/>
    <xf numFmtId="0" fontId="0" fillId="2" borderId="2" xfId="0" applyFont="1" applyFill="1" applyBorder="1"/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4" borderId="1" xfId="2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</cellXfs>
  <cellStyles count="3">
    <cellStyle name="Calculation" xfId="2" builtinId="22"/>
    <cellStyle name="Input" xfId="1" builtinId="20"/>
    <cellStyle name="Normal" xfId="0" builtinId="0"/>
  </cellStyles>
  <dxfs count="2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workbookViewId="0">
      <selection activeCell="D1" sqref="D1"/>
    </sheetView>
  </sheetViews>
  <sheetFormatPr defaultRowHeight="15" x14ac:dyDescent="0.25"/>
  <cols>
    <col min="12" max="12" width="9.5703125" bestFit="1" customWidth="1"/>
  </cols>
  <sheetData>
    <row r="1" spans="1:14" ht="19.5" customHeight="1" thickBot="1" x14ac:dyDescent="0.3">
      <c r="A1" s="44" t="s">
        <v>28</v>
      </c>
      <c r="B1" s="44"/>
      <c r="C1" s="44"/>
    </row>
    <row r="2" spans="1:14" ht="19.5" customHeight="1" x14ac:dyDescent="0.3">
      <c r="A2" s="14"/>
      <c r="B2" s="15"/>
      <c r="C2" s="15"/>
      <c r="D2" s="15"/>
      <c r="E2" s="15"/>
      <c r="F2" s="16"/>
      <c r="K2" s="9"/>
      <c r="L2" s="9"/>
    </row>
    <row r="3" spans="1:14" ht="19.5" customHeight="1" x14ac:dyDescent="0.3">
      <c r="A3" s="40" t="s">
        <v>30</v>
      </c>
      <c r="B3" s="41"/>
      <c r="C3" s="43"/>
      <c r="D3" s="18"/>
      <c r="E3" s="3" t="s">
        <v>34</v>
      </c>
      <c r="F3" s="19"/>
      <c r="K3" s="9"/>
      <c r="L3" s="9"/>
    </row>
    <row r="4" spans="1:14" ht="19.5" customHeight="1" x14ac:dyDescent="0.3">
      <c r="A4" s="40" t="s">
        <v>31</v>
      </c>
      <c r="B4" s="41"/>
      <c r="C4" s="43"/>
      <c r="D4" s="18"/>
      <c r="E4" s="3" t="s">
        <v>35</v>
      </c>
      <c r="F4" s="19"/>
      <c r="K4" s="9"/>
      <c r="L4" s="9"/>
    </row>
    <row r="5" spans="1:14" ht="19.5" customHeight="1" x14ac:dyDescent="0.3">
      <c r="A5" s="40" t="s">
        <v>21</v>
      </c>
      <c r="B5" s="41"/>
      <c r="C5" s="43"/>
      <c r="D5" s="20"/>
      <c r="E5" s="3"/>
      <c r="F5" s="19"/>
      <c r="K5" s="9"/>
      <c r="L5" s="9"/>
    </row>
    <row r="6" spans="1:14" ht="19.5" customHeight="1" x14ac:dyDescent="0.3">
      <c r="A6" s="40" t="s">
        <v>22</v>
      </c>
      <c r="B6" s="41"/>
      <c r="C6" s="43"/>
      <c r="D6" s="21">
        <f>IF(D5="A",10,IF(D5="B",7.64,IF(D5="C",5.6,IF(D5="D",4.44,2.88))))</f>
        <v>2.88</v>
      </c>
      <c r="E6" s="3"/>
      <c r="F6" s="19"/>
      <c r="K6" s="9"/>
      <c r="L6" s="9"/>
    </row>
    <row r="7" spans="1:14" ht="19.5" customHeight="1" x14ac:dyDescent="0.3">
      <c r="A7" s="40" t="s">
        <v>23</v>
      </c>
      <c r="B7" s="41"/>
      <c r="C7" s="43"/>
      <c r="D7" s="18"/>
      <c r="E7" s="3"/>
      <c r="F7" s="19"/>
      <c r="K7" s="9"/>
      <c r="L7" s="9"/>
    </row>
    <row r="8" spans="1:14" ht="19.5" customHeight="1" thickBot="1" x14ac:dyDescent="0.35">
      <c r="A8" s="40" t="s">
        <v>25</v>
      </c>
      <c r="B8" s="41"/>
      <c r="C8" s="43"/>
      <c r="D8" s="18"/>
      <c r="E8" s="3" t="s">
        <v>36</v>
      </c>
      <c r="F8" s="19"/>
      <c r="I8" s="46" t="s">
        <v>38</v>
      </c>
      <c r="J8" s="46"/>
      <c r="K8" s="46"/>
      <c r="L8" s="46"/>
      <c r="M8" s="46"/>
    </row>
    <row r="9" spans="1:14" ht="19.5" customHeight="1" x14ac:dyDescent="0.3">
      <c r="A9" s="17"/>
      <c r="B9" s="3"/>
      <c r="C9" s="3"/>
      <c r="D9" s="3"/>
      <c r="E9" s="3"/>
      <c r="F9" s="19"/>
      <c r="I9" s="26"/>
      <c r="J9" s="27"/>
      <c r="K9" s="27"/>
      <c r="L9" s="27"/>
      <c r="M9" s="15"/>
      <c r="N9" s="16"/>
    </row>
    <row r="10" spans="1:14" ht="19.5" customHeight="1" x14ac:dyDescent="0.3">
      <c r="A10" s="40" t="s">
        <v>32</v>
      </c>
      <c r="B10" s="41"/>
      <c r="C10" s="43"/>
      <c r="D10" s="33"/>
      <c r="E10" s="3" t="s">
        <v>37</v>
      </c>
      <c r="F10" s="19"/>
      <c r="I10" s="47" t="s">
        <v>41</v>
      </c>
      <c r="J10" s="48"/>
      <c r="K10" s="48"/>
      <c r="L10" s="30" t="e">
        <f>'Depth Calc'!B19</f>
        <v>#DIV/0!</v>
      </c>
      <c r="M10" s="32" t="s">
        <v>37</v>
      </c>
      <c r="N10" s="19"/>
    </row>
    <row r="11" spans="1:14" ht="19.5" customHeight="1" x14ac:dyDescent="0.3">
      <c r="A11" s="17"/>
      <c r="B11" s="3"/>
      <c r="C11" s="3"/>
      <c r="D11" s="3"/>
      <c r="E11" s="3"/>
      <c r="F11" s="19"/>
      <c r="I11" s="47" t="s">
        <v>42</v>
      </c>
      <c r="J11" s="48"/>
      <c r="K11" s="48"/>
      <c r="L11" s="30" t="e">
        <f>'Depth Calc'!D19</f>
        <v>#DIV/0!</v>
      </c>
      <c r="M11" s="32" t="s">
        <v>37</v>
      </c>
      <c r="N11" s="19"/>
    </row>
    <row r="12" spans="1:14" ht="19.5" customHeight="1" x14ac:dyDescent="0.3">
      <c r="A12" s="40" t="s">
        <v>26</v>
      </c>
      <c r="B12" s="41"/>
      <c r="C12" s="42"/>
      <c r="D12" s="45" t="e">
        <f>IF(VelocityCalc!A22&lt;0,"INCREASE DEPTH",IF(VelocityCalc!$U$22&lt;Summary!$D$8,VelocityCalc!A22,"DECREASE DEPTH"))</f>
        <v>#DIV/0!</v>
      </c>
      <c r="E12" s="45"/>
      <c r="F12" s="19"/>
      <c r="I12" s="47" t="s">
        <v>40</v>
      </c>
      <c r="J12" s="48"/>
      <c r="K12" s="48"/>
      <c r="L12" s="31" t="e">
        <f>'Depth Calc'!G19</f>
        <v>#DIV/0!</v>
      </c>
      <c r="M12" s="32" t="s">
        <v>43</v>
      </c>
      <c r="N12" s="19"/>
    </row>
    <row r="13" spans="1:14" ht="19.5" customHeight="1" thickBot="1" x14ac:dyDescent="0.35">
      <c r="A13" s="22"/>
      <c r="B13" s="23"/>
      <c r="C13" s="23"/>
      <c r="D13" s="23"/>
      <c r="E13" s="23"/>
      <c r="F13" s="24"/>
      <c r="I13" s="28"/>
      <c r="J13" s="29"/>
      <c r="K13" s="23"/>
      <c r="L13" s="23"/>
      <c r="M13" s="23"/>
      <c r="N13" s="24"/>
    </row>
    <row r="14" spans="1:14" ht="19.5" customHeight="1" x14ac:dyDescent="0.3">
      <c r="I14" s="9"/>
      <c r="J14" s="9"/>
    </row>
    <row r="15" spans="1:14" ht="19.5" customHeight="1" thickBot="1" x14ac:dyDescent="0.35">
      <c r="A15" s="41" t="s">
        <v>29</v>
      </c>
      <c r="B15" s="41"/>
      <c r="C15" s="41"/>
      <c r="D15" s="3"/>
      <c r="E15" s="3"/>
      <c r="F15" s="3"/>
      <c r="I15" s="46" t="s">
        <v>39</v>
      </c>
      <c r="J15" s="46"/>
      <c r="K15" s="46"/>
      <c r="L15" s="46"/>
      <c r="M15" s="46"/>
    </row>
    <row r="16" spans="1:14" ht="19.5" customHeight="1" x14ac:dyDescent="0.3">
      <c r="A16" s="14"/>
      <c r="B16" s="15"/>
      <c r="C16" s="15"/>
      <c r="D16" s="15"/>
      <c r="E16" s="15"/>
      <c r="F16" s="16"/>
      <c r="I16" s="26"/>
      <c r="J16" s="27"/>
      <c r="K16" s="15"/>
      <c r="L16" s="15"/>
      <c r="M16" s="15"/>
      <c r="N16" s="16"/>
    </row>
    <row r="17" spans="1:14" ht="19.5" customHeight="1" x14ac:dyDescent="0.3">
      <c r="A17" s="40" t="s">
        <v>30</v>
      </c>
      <c r="B17" s="41"/>
      <c r="C17" s="41"/>
      <c r="D17" s="25">
        <f>D3</f>
        <v>0</v>
      </c>
      <c r="E17" s="3" t="s">
        <v>34</v>
      </c>
      <c r="F17" s="19"/>
      <c r="I17" s="47" t="s">
        <v>41</v>
      </c>
      <c r="J17" s="48"/>
      <c r="K17" s="48"/>
      <c r="L17" s="30" t="e">
        <f>'Depth Calc'!A19</f>
        <v>#DIV/0!</v>
      </c>
      <c r="M17" s="32" t="s">
        <v>37</v>
      </c>
      <c r="N17" s="19"/>
    </row>
    <row r="18" spans="1:14" ht="19.5" customHeight="1" x14ac:dyDescent="0.3">
      <c r="A18" s="40" t="s">
        <v>31</v>
      </c>
      <c r="B18" s="41"/>
      <c r="C18" s="41"/>
      <c r="D18" s="11"/>
      <c r="E18" s="3" t="s">
        <v>35</v>
      </c>
      <c r="F18" s="19"/>
      <c r="I18" s="47" t="s">
        <v>42</v>
      </c>
      <c r="J18" s="48"/>
      <c r="K18" s="48"/>
      <c r="L18" s="30" t="e">
        <f>'Depth Calc'!C19</f>
        <v>#DIV/0!</v>
      </c>
      <c r="M18" s="32" t="s">
        <v>37</v>
      </c>
      <c r="N18" s="19"/>
    </row>
    <row r="19" spans="1:14" ht="19.5" customHeight="1" x14ac:dyDescent="0.3">
      <c r="A19" s="40" t="s">
        <v>21</v>
      </c>
      <c r="B19" s="41"/>
      <c r="C19" s="41"/>
      <c r="D19" s="12"/>
      <c r="E19" s="3"/>
      <c r="F19" s="19"/>
      <c r="I19" s="47" t="s">
        <v>40</v>
      </c>
      <c r="J19" s="48"/>
      <c r="K19" s="48"/>
      <c r="L19" s="31" t="e">
        <f>'Depth Calc'!F19</f>
        <v>#DIV/0!</v>
      </c>
      <c r="M19" s="32" t="s">
        <v>43</v>
      </c>
      <c r="N19" s="19"/>
    </row>
    <row r="20" spans="1:14" ht="19.5" customHeight="1" thickBot="1" x14ac:dyDescent="0.3">
      <c r="A20" s="40" t="s">
        <v>22</v>
      </c>
      <c r="B20" s="41"/>
      <c r="C20" s="41"/>
      <c r="D20" s="21">
        <f>IF(D19="A",10,IF(D19="B",7.64,IF(D19="C",5.6,IF(D19="D",4.44,2.88))))</f>
        <v>2.88</v>
      </c>
      <c r="E20" s="3"/>
      <c r="F20" s="19"/>
      <c r="I20" s="22"/>
      <c r="J20" s="23"/>
      <c r="K20" s="23"/>
      <c r="L20" s="23"/>
      <c r="M20" s="23"/>
      <c r="N20" s="24"/>
    </row>
    <row r="21" spans="1:14" ht="19.5" customHeight="1" x14ac:dyDescent="0.25">
      <c r="A21" s="40" t="s">
        <v>23</v>
      </c>
      <c r="B21" s="41"/>
      <c r="C21" s="41"/>
      <c r="D21" s="25">
        <f>D7</f>
        <v>0</v>
      </c>
      <c r="E21" s="3"/>
      <c r="F21" s="19"/>
    </row>
    <row r="22" spans="1:14" ht="19.5" customHeight="1" x14ac:dyDescent="0.25">
      <c r="A22" s="40" t="s">
        <v>25</v>
      </c>
      <c r="B22" s="41"/>
      <c r="C22" s="41"/>
      <c r="D22" s="25">
        <f>D8</f>
        <v>0</v>
      </c>
      <c r="E22" s="3" t="s">
        <v>36</v>
      </c>
      <c r="F22" s="19"/>
    </row>
    <row r="23" spans="1:14" ht="19.5" customHeight="1" x14ac:dyDescent="0.25">
      <c r="A23" s="17"/>
      <c r="B23" s="3"/>
      <c r="C23" s="3"/>
      <c r="D23" s="3"/>
      <c r="E23" s="3"/>
      <c r="F23" s="19"/>
    </row>
    <row r="24" spans="1:14" ht="19.5" customHeight="1" x14ac:dyDescent="0.25">
      <c r="A24" s="40" t="s">
        <v>33</v>
      </c>
      <c r="B24" s="41"/>
      <c r="C24" s="41"/>
      <c r="D24" s="25" t="e">
        <f>D12</f>
        <v>#DIV/0!</v>
      </c>
      <c r="E24" s="3" t="s">
        <v>37</v>
      </c>
      <c r="F24" s="19"/>
    </row>
    <row r="25" spans="1:14" ht="19.5" customHeight="1" x14ac:dyDescent="0.25">
      <c r="A25" s="17"/>
      <c r="B25" s="3"/>
      <c r="C25" s="3"/>
      <c r="D25" s="3"/>
      <c r="E25" s="3"/>
      <c r="F25" s="19"/>
    </row>
    <row r="26" spans="1:14" ht="19.5" customHeight="1" x14ac:dyDescent="0.25">
      <c r="A26" s="40" t="s">
        <v>27</v>
      </c>
      <c r="B26" s="41"/>
      <c r="C26" s="41"/>
      <c r="D26" s="45" t="e">
        <f>IF('Depth Calc'!R19&lt;'Depth Calc'!Q19,"OK","DECREASE DEPTH")</f>
        <v>#DIV/0!</v>
      </c>
      <c r="E26" s="45"/>
      <c r="F26" s="19"/>
    </row>
    <row r="27" spans="1:14" ht="19.5" customHeight="1" thickBot="1" x14ac:dyDescent="0.3">
      <c r="A27" s="22"/>
      <c r="B27" s="23"/>
      <c r="C27" s="23"/>
      <c r="D27" s="23"/>
      <c r="E27" s="23"/>
      <c r="F27" s="24"/>
    </row>
  </sheetData>
  <mergeCells count="28">
    <mergeCell ref="D12:E12"/>
    <mergeCell ref="D26:E26"/>
    <mergeCell ref="I8:M8"/>
    <mergeCell ref="I15:M15"/>
    <mergeCell ref="I19:K19"/>
    <mergeCell ref="I18:K18"/>
    <mergeCell ref="I17:K17"/>
    <mergeCell ref="I12:K12"/>
    <mergeCell ref="I11:K11"/>
    <mergeCell ref="I10:K10"/>
    <mergeCell ref="A6:C6"/>
    <mergeCell ref="A5:C5"/>
    <mergeCell ref="A4:C4"/>
    <mergeCell ref="A3:C3"/>
    <mergeCell ref="A1:C1"/>
    <mergeCell ref="A26:C26"/>
    <mergeCell ref="A24:C24"/>
    <mergeCell ref="A22:C22"/>
    <mergeCell ref="A21:C21"/>
    <mergeCell ref="A20:C20"/>
    <mergeCell ref="A12:C12"/>
    <mergeCell ref="A10:C10"/>
    <mergeCell ref="A8:C8"/>
    <mergeCell ref="A7:C7"/>
    <mergeCell ref="A19:C19"/>
    <mergeCell ref="A18:C18"/>
    <mergeCell ref="A17:C17"/>
    <mergeCell ref="A15:C15"/>
  </mergeCells>
  <dataValidations count="3">
    <dataValidation type="list" allowBlank="1" showInputMessage="1" showErrorMessage="1" sqref="D19 D5">
      <formula1>"A, B, C, D, E"</formula1>
    </dataValidation>
    <dataValidation type="list" allowBlank="1" showInputMessage="1" showErrorMessage="1" sqref="D7">
      <formula1>"0.90,0.87,0.75,0.5"</formula1>
    </dataValidation>
    <dataValidation type="list" allowBlank="1" showInputMessage="1" showErrorMessage="1" sqref="D8">
      <formula1>"0.02,0.03,0.05,0.07"</formula1>
    </dataValidation>
  </dataValidations>
  <pageMargins left="0.7" right="0.7" top="0.75" bottom="0.75" header="0.3" footer="0.3"/>
  <pageSetup scale="9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2"/>
  <sheetViews>
    <sheetView workbookViewId="0">
      <selection activeCell="I29" sqref="I29"/>
    </sheetView>
  </sheetViews>
  <sheetFormatPr defaultRowHeight="15" x14ac:dyDescent="0.25"/>
  <sheetData>
    <row r="2" spans="1:21" x14ac:dyDescent="0.25">
      <c r="A2" t="s">
        <v>20</v>
      </c>
    </row>
    <row r="3" spans="1:21" x14ac:dyDescent="0.25">
      <c r="A3" t="s">
        <v>10</v>
      </c>
      <c r="B3" t="s">
        <v>15</v>
      </c>
      <c r="C3" t="s">
        <v>2</v>
      </c>
      <c r="D3" t="s">
        <v>14</v>
      </c>
      <c r="E3" t="s">
        <v>13</v>
      </c>
      <c r="F3" t="s">
        <v>3</v>
      </c>
      <c r="G3" t="s">
        <v>16</v>
      </c>
      <c r="H3" t="s">
        <v>0</v>
      </c>
      <c r="I3" t="s">
        <v>1</v>
      </c>
      <c r="J3" t="s">
        <v>4</v>
      </c>
      <c r="K3" t="s">
        <v>8</v>
      </c>
      <c r="L3" t="s">
        <v>24</v>
      </c>
      <c r="M3" t="s">
        <v>6</v>
      </c>
      <c r="N3" t="s">
        <v>5</v>
      </c>
      <c r="O3" t="s">
        <v>11</v>
      </c>
      <c r="P3" t="s">
        <v>7</v>
      </c>
      <c r="Q3" t="s">
        <v>9</v>
      </c>
      <c r="R3" t="s">
        <v>10</v>
      </c>
      <c r="S3" t="s">
        <v>12</v>
      </c>
      <c r="T3" t="s">
        <v>18</v>
      </c>
      <c r="U3" t="s">
        <v>19</v>
      </c>
    </row>
    <row r="4" spans="1:21" x14ac:dyDescent="0.25">
      <c r="A4" s="6">
        <v>100</v>
      </c>
      <c r="B4" s="7" t="e">
        <f>SQRT((4*D4/E4))</f>
        <v>#DIV/0!</v>
      </c>
      <c r="C4" s="6">
        <f>Summary!$D$10</f>
        <v>0</v>
      </c>
      <c r="D4" s="6">
        <f>C4+0.5</f>
        <v>0.5</v>
      </c>
      <c r="E4" s="6">
        <f>4*C4/A4^2</f>
        <v>0</v>
      </c>
      <c r="F4" s="8" t="e">
        <f>1/(E4*A4)</f>
        <v>#DIV/0!</v>
      </c>
      <c r="G4" s="8" t="e">
        <f>1/(E4*B4)</f>
        <v>#DIV/0!</v>
      </c>
      <c r="H4" s="8" t="e">
        <f>(C4^(3/2))/(0.75*SQRT(E4))</f>
        <v>#DIV/0!</v>
      </c>
      <c r="I4" s="6" t="e">
        <f t="shared" ref="I4:I8" si="0">H4/(SQRT(4*(C4^2)+(C4/E4))+(1/(2*E4))*LN(SQRT(4*E4*C4)+SQRT(4*E4*C4+1)))</f>
        <v>#DIV/0!</v>
      </c>
      <c r="J4" s="6">
        <f>Summary!$D$3</f>
        <v>0</v>
      </c>
      <c r="K4" s="6" t="e">
        <f>J4/H4</f>
        <v>#DIV/0!</v>
      </c>
      <c r="L4" s="8">
        <f>Summary!$D$6</f>
        <v>2.88</v>
      </c>
      <c r="M4" s="6" t="e">
        <f>K4*I4</f>
        <v>#DIV/0!</v>
      </c>
      <c r="N4" s="6" t="e">
        <f>EXP(L4*((0.0133*(LN(M4))^2)-(0.0954*LN(M4))+0.297)-4.16)</f>
        <v>#DIV/0!</v>
      </c>
      <c r="O4" s="6">
        <f>Summary!$D$4</f>
        <v>0</v>
      </c>
      <c r="P4" s="6" t="e">
        <f>(1.49/N4)*I4^(2/3)*O4^(1/2)</f>
        <v>#DIV/0!</v>
      </c>
      <c r="Q4" s="6">
        <f>0.75*L4</f>
        <v>2.16</v>
      </c>
      <c r="R4" s="6">
        <f t="shared" ref="R4:R8" si="1">62.4*C4*O4</f>
        <v>0</v>
      </c>
      <c r="S4" s="6" t="e">
        <f>P4-K4</f>
        <v>#DIV/0!</v>
      </c>
      <c r="T4" s="1">
        <f>Summary!$D$8</f>
        <v>0</v>
      </c>
      <c r="U4" s="1" t="e">
        <f>62.4*C4*O4*(1-Summary!$D$7)*((0.0156/N4)^2)</f>
        <v>#DIV/0!</v>
      </c>
    </row>
    <row r="5" spans="1:21" x14ac:dyDescent="0.25">
      <c r="A5" s="3">
        <f>+A4-25</f>
        <v>75</v>
      </c>
      <c r="B5" s="4" t="e">
        <f>SQRT((4*D5/E5))</f>
        <v>#DIV/0!</v>
      </c>
      <c r="C5" s="6">
        <f>Summary!$D$10</f>
        <v>0</v>
      </c>
      <c r="D5" s="3">
        <f t="shared" ref="D5:D8" si="2">C5+0.5</f>
        <v>0.5</v>
      </c>
      <c r="E5" s="3">
        <f t="shared" ref="E5:E8" si="3">4*C5/A5^2</f>
        <v>0</v>
      </c>
      <c r="F5" s="5" t="e">
        <f t="shared" ref="F5:F8" si="4">1/(E5*A5)</f>
        <v>#DIV/0!</v>
      </c>
      <c r="G5" s="5" t="e">
        <f t="shared" ref="G5:G8" si="5">1/(E5*B5)</f>
        <v>#DIV/0!</v>
      </c>
      <c r="H5" s="5" t="e">
        <f t="shared" ref="H5:H8" si="6">(C5^(3/2))/(0.75*SQRT(E5))</f>
        <v>#DIV/0!</v>
      </c>
      <c r="I5" s="3" t="e">
        <f t="shared" si="0"/>
        <v>#DIV/0!</v>
      </c>
      <c r="J5" s="6">
        <f>Summary!$D$3</f>
        <v>0</v>
      </c>
      <c r="K5" s="3" t="e">
        <f t="shared" ref="K5:K8" si="7">J5/H5</f>
        <v>#DIV/0!</v>
      </c>
      <c r="L5" s="8">
        <f>Summary!$D$6</f>
        <v>2.88</v>
      </c>
      <c r="M5" s="3" t="e">
        <f t="shared" ref="M5:M6" si="8">K5*I5</f>
        <v>#DIV/0!</v>
      </c>
      <c r="N5" s="3" t="e">
        <f t="shared" ref="N5:N6" si="9">EXP(L5*((0.0133*(LN(M5))^2)-(0.0954*LN(M5))+0.297)-4.16)</f>
        <v>#DIV/0!</v>
      </c>
      <c r="O5" s="6">
        <f>Summary!$D$4</f>
        <v>0</v>
      </c>
      <c r="P5" s="3" t="e">
        <f t="shared" ref="P5:P6" si="10">(1.49/N5)*I5^(2/3)*O5^(1/2)</f>
        <v>#DIV/0!</v>
      </c>
      <c r="Q5" s="3">
        <f t="shared" ref="Q5:Q6" si="11">0.75*L5</f>
        <v>2.16</v>
      </c>
      <c r="R5" s="3">
        <f t="shared" si="1"/>
        <v>0</v>
      </c>
      <c r="S5" s="3" t="e">
        <f t="shared" ref="S5:S6" si="12">P5-K5</f>
        <v>#DIV/0!</v>
      </c>
      <c r="T5" s="1">
        <f>Summary!$D$8</f>
        <v>0</v>
      </c>
      <c r="U5" s="1" t="e">
        <f>62.4*C5*O5*(1-Summary!$D$7)*((0.0156/N5)^2)</f>
        <v>#DIV/0!</v>
      </c>
    </row>
    <row r="6" spans="1:21" x14ac:dyDescent="0.25">
      <c r="A6" s="3">
        <f t="shared" ref="A6:A7" si="13">+A5-25</f>
        <v>50</v>
      </c>
      <c r="B6" s="4" t="e">
        <f t="shared" ref="B6:B8" si="14">SQRT((4*D6/E6))</f>
        <v>#DIV/0!</v>
      </c>
      <c r="C6" s="6">
        <f>Summary!$D$10</f>
        <v>0</v>
      </c>
      <c r="D6" s="3">
        <f t="shared" si="2"/>
        <v>0.5</v>
      </c>
      <c r="E6" s="3">
        <f t="shared" si="3"/>
        <v>0</v>
      </c>
      <c r="F6" s="5" t="e">
        <f t="shared" si="4"/>
        <v>#DIV/0!</v>
      </c>
      <c r="G6" s="5" t="e">
        <f t="shared" si="5"/>
        <v>#DIV/0!</v>
      </c>
      <c r="H6" s="5" t="e">
        <f t="shared" si="6"/>
        <v>#DIV/0!</v>
      </c>
      <c r="I6" s="3" t="e">
        <f t="shared" si="0"/>
        <v>#DIV/0!</v>
      </c>
      <c r="J6" s="6">
        <f>Summary!$D$3</f>
        <v>0</v>
      </c>
      <c r="K6" s="3" t="e">
        <f t="shared" si="7"/>
        <v>#DIV/0!</v>
      </c>
      <c r="L6" s="8">
        <f>Summary!$D$6</f>
        <v>2.88</v>
      </c>
      <c r="M6" s="3" t="e">
        <f t="shared" si="8"/>
        <v>#DIV/0!</v>
      </c>
      <c r="N6" s="3" t="e">
        <f t="shared" si="9"/>
        <v>#DIV/0!</v>
      </c>
      <c r="O6" s="6">
        <f>Summary!$D$4</f>
        <v>0</v>
      </c>
      <c r="P6" s="3" t="e">
        <f t="shared" si="10"/>
        <v>#DIV/0!</v>
      </c>
      <c r="Q6" s="3">
        <f t="shared" si="11"/>
        <v>2.16</v>
      </c>
      <c r="R6" s="3">
        <f t="shared" si="1"/>
        <v>0</v>
      </c>
      <c r="S6" s="3" t="e">
        <f t="shared" si="12"/>
        <v>#DIV/0!</v>
      </c>
      <c r="T6" s="1">
        <f>Summary!$D$8</f>
        <v>0</v>
      </c>
      <c r="U6" s="1" t="e">
        <f>62.4*C6*O6*(1-Summary!$D$7)*((0.0156/N6)^2)</f>
        <v>#DIV/0!</v>
      </c>
    </row>
    <row r="7" spans="1:21" x14ac:dyDescent="0.25">
      <c r="A7" s="3">
        <f t="shared" si="13"/>
        <v>25</v>
      </c>
      <c r="B7" s="7" t="e">
        <f t="shared" si="14"/>
        <v>#DIV/0!</v>
      </c>
      <c r="C7" s="6">
        <f>Summary!$D$10</f>
        <v>0</v>
      </c>
      <c r="D7" s="6">
        <f t="shared" si="2"/>
        <v>0.5</v>
      </c>
      <c r="E7" s="6">
        <f t="shared" si="3"/>
        <v>0</v>
      </c>
      <c r="F7" s="8" t="e">
        <f t="shared" si="4"/>
        <v>#DIV/0!</v>
      </c>
      <c r="G7" s="8" t="e">
        <f t="shared" si="5"/>
        <v>#DIV/0!</v>
      </c>
      <c r="H7" s="8" t="e">
        <f t="shared" si="6"/>
        <v>#DIV/0!</v>
      </c>
      <c r="I7" s="6" t="e">
        <f t="shared" si="0"/>
        <v>#DIV/0!</v>
      </c>
      <c r="J7" s="6">
        <f>Summary!$D$3</f>
        <v>0</v>
      </c>
      <c r="K7" s="6" t="e">
        <f t="shared" si="7"/>
        <v>#DIV/0!</v>
      </c>
      <c r="L7" s="8">
        <f>Summary!$D$6</f>
        <v>2.88</v>
      </c>
      <c r="M7" s="6" t="e">
        <f>K7*I7</f>
        <v>#DIV/0!</v>
      </c>
      <c r="N7" s="6" t="e">
        <f>EXP(L7*((0.0133*(LN(M7))^2)-(0.0954*LN(M7))+0.297)-4.16)</f>
        <v>#DIV/0!</v>
      </c>
      <c r="O7" s="6">
        <f>Summary!$D$4</f>
        <v>0</v>
      </c>
      <c r="P7" s="6" t="e">
        <f>(1.49/N7)*I7^(2/3)*O7^(1/2)</f>
        <v>#DIV/0!</v>
      </c>
      <c r="Q7" s="6">
        <f>0.75*L7</f>
        <v>2.16</v>
      </c>
      <c r="R7" s="6">
        <f t="shared" si="1"/>
        <v>0</v>
      </c>
      <c r="S7" s="6" t="e">
        <f>P7-K7</f>
        <v>#DIV/0!</v>
      </c>
      <c r="T7" s="1">
        <f>Summary!$D$8</f>
        <v>0</v>
      </c>
      <c r="U7" s="1" t="e">
        <f>62.4*C7*O7*(1-Summary!$D$7)*((0.0156/N7)^2)</f>
        <v>#DIV/0!</v>
      </c>
    </row>
    <row r="8" spans="1:21" x14ac:dyDescent="0.25">
      <c r="A8" s="3">
        <v>1</v>
      </c>
      <c r="B8" s="4" t="e">
        <f t="shared" si="14"/>
        <v>#DIV/0!</v>
      </c>
      <c r="C8" s="6">
        <f>Summary!$D$10</f>
        <v>0</v>
      </c>
      <c r="D8" s="3">
        <f t="shared" si="2"/>
        <v>0.5</v>
      </c>
      <c r="E8" s="3">
        <f t="shared" si="3"/>
        <v>0</v>
      </c>
      <c r="F8" s="5" t="e">
        <f t="shared" si="4"/>
        <v>#DIV/0!</v>
      </c>
      <c r="G8" s="5" t="e">
        <f t="shared" si="5"/>
        <v>#DIV/0!</v>
      </c>
      <c r="H8" s="5" t="e">
        <f t="shared" si="6"/>
        <v>#DIV/0!</v>
      </c>
      <c r="I8" s="3" t="e">
        <f t="shared" si="0"/>
        <v>#DIV/0!</v>
      </c>
      <c r="J8" s="6">
        <f>Summary!$D$3</f>
        <v>0</v>
      </c>
      <c r="K8" s="3" t="e">
        <f t="shared" si="7"/>
        <v>#DIV/0!</v>
      </c>
      <c r="L8" s="8">
        <f>Summary!$D$6</f>
        <v>2.88</v>
      </c>
      <c r="M8" s="3" t="e">
        <f t="shared" ref="M8" si="15">K8*I8</f>
        <v>#DIV/0!</v>
      </c>
      <c r="N8" s="3" t="e">
        <f t="shared" ref="N8" si="16">EXP(L8*((0.0133*(LN(M8))^2)-(0.0954*LN(M8))+0.297)-4.16)</f>
        <v>#DIV/0!</v>
      </c>
      <c r="O8" s="6">
        <f>Summary!$D$4</f>
        <v>0</v>
      </c>
      <c r="P8" s="3" t="e">
        <f t="shared" ref="P8" si="17">(1.49/N8)*I8^(2/3)*O8^(1/2)</f>
        <v>#DIV/0!</v>
      </c>
      <c r="Q8" s="3">
        <f t="shared" ref="Q8" si="18">0.75*L8</f>
        <v>2.16</v>
      </c>
      <c r="R8" s="3">
        <f t="shared" si="1"/>
        <v>0</v>
      </c>
      <c r="S8" s="3" t="e">
        <f t="shared" ref="S8" si="19">P8-K8</f>
        <v>#DIV/0!</v>
      </c>
      <c r="T8" s="1">
        <f>Summary!$D$8</f>
        <v>0</v>
      </c>
      <c r="U8" s="1" t="e">
        <f>62.4*C8*O8*(1-Summary!$D$7)*((0.0156/N8)^2)</f>
        <v>#DIV/0!</v>
      </c>
    </row>
    <row r="10" spans="1:21" x14ac:dyDescent="0.25">
      <c r="A10" t="e">
        <f>IF(AND(S4&gt;0,S5&lt;0),A4,IF(AND(S5&gt;0,S6&lt;0),A5,IF(AND(S6&gt;0,S7&lt;0),A6,IF(AND(S7&gt;0,S8&lt;0),A7,A8))))</f>
        <v>#DIV/0!</v>
      </c>
      <c r="B10" s="7" t="e">
        <f>SQRT((4*D10/E10))</f>
        <v>#DIV/0!</v>
      </c>
      <c r="C10" s="6">
        <f>Summary!$D$10</f>
        <v>0</v>
      </c>
      <c r="D10" s="6">
        <f>C10+0.5</f>
        <v>0.5</v>
      </c>
      <c r="E10" s="6" t="e">
        <f>4*C10/A10^2</f>
        <v>#DIV/0!</v>
      </c>
      <c r="F10" s="8" t="e">
        <f>1/(E10*A10)</f>
        <v>#DIV/0!</v>
      </c>
      <c r="G10" s="8" t="e">
        <f>1/(E10*B10)</f>
        <v>#DIV/0!</v>
      </c>
      <c r="H10" s="8" t="e">
        <f>(C10^(3/2))/(0.75*SQRT(E10))</f>
        <v>#DIV/0!</v>
      </c>
      <c r="I10" s="6" t="e">
        <f t="shared" ref="I10:I14" si="20">H10/(SQRT(4*(C10^2)+(C10/E10))+(1/(2*E10))*LN(SQRT(4*E10*C10)+SQRT(4*E10*C10+1)))</f>
        <v>#DIV/0!</v>
      </c>
      <c r="J10" s="6">
        <f>Summary!$D$3</f>
        <v>0</v>
      </c>
      <c r="K10" s="6" t="e">
        <f>J10/H10</f>
        <v>#DIV/0!</v>
      </c>
      <c r="L10" s="8">
        <f>Summary!$D$6</f>
        <v>2.88</v>
      </c>
      <c r="M10" s="6" t="e">
        <f>K10*I10</f>
        <v>#DIV/0!</v>
      </c>
      <c r="N10" s="6" t="e">
        <f>EXP(L10*((0.0133*(LN(M10))^2)-(0.0954*LN(M10))+0.297)-4.16)</f>
        <v>#DIV/0!</v>
      </c>
      <c r="O10" s="6">
        <f>Summary!$D$4</f>
        <v>0</v>
      </c>
      <c r="P10" s="6" t="e">
        <f>(1.49/N10)*I10^(2/3)*O10^(1/2)</f>
        <v>#DIV/0!</v>
      </c>
      <c r="Q10" s="6">
        <f>0.75*L10</f>
        <v>2.16</v>
      </c>
      <c r="R10" s="6">
        <f t="shared" ref="R10:R14" si="21">62.4*C10*O10</f>
        <v>0</v>
      </c>
      <c r="S10" s="6" t="e">
        <f>P10-K10</f>
        <v>#DIV/0!</v>
      </c>
      <c r="T10" s="1">
        <f>Summary!$D$8</f>
        <v>0</v>
      </c>
      <c r="U10" s="1" t="e">
        <f>62.4*C10*O10*(1-Summary!$D$7)*((0.0156/N10)^2)</f>
        <v>#DIV/0!</v>
      </c>
    </row>
    <row r="11" spans="1:21" x14ac:dyDescent="0.25">
      <c r="A11" t="e">
        <f>A10-5</f>
        <v>#DIV/0!</v>
      </c>
      <c r="B11" s="4" t="e">
        <f>SQRT((4*D11/E11))</f>
        <v>#DIV/0!</v>
      </c>
      <c r="C11" s="6">
        <f>Summary!$D$10</f>
        <v>0</v>
      </c>
      <c r="D11" s="3">
        <f t="shared" ref="D11:D14" si="22">C11+0.5</f>
        <v>0.5</v>
      </c>
      <c r="E11" s="3" t="e">
        <f t="shared" ref="E11:E14" si="23">4*C11/A11^2</f>
        <v>#DIV/0!</v>
      </c>
      <c r="F11" s="5" t="e">
        <f t="shared" ref="F11:F14" si="24">1/(E11*A11)</f>
        <v>#DIV/0!</v>
      </c>
      <c r="G11" s="5" t="e">
        <f t="shared" ref="G11:G14" si="25">1/(E11*B11)</f>
        <v>#DIV/0!</v>
      </c>
      <c r="H11" s="5" t="e">
        <f t="shared" ref="H11:H14" si="26">(C11^(3/2))/(0.75*SQRT(E11))</f>
        <v>#DIV/0!</v>
      </c>
      <c r="I11" s="3" t="e">
        <f t="shared" si="20"/>
        <v>#DIV/0!</v>
      </c>
      <c r="J11" s="6">
        <f>Summary!$D$3</f>
        <v>0</v>
      </c>
      <c r="K11" s="3" t="e">
        <f t="shared" ref="K11:K14" si="27">J11/H11</f>
        <v>#DIV/0!</v>
      </c>
      <c r="L11" s="8">
        <f>Summary!$D$6</f>
        <v>2.88</v>
      </c>
      <c r="M11" s="3" t="e">
        <f t="shared" ref="M11:M12" si="28">K11*I11</f>
        <v>#DIV/0!</v>
      </c>
      <c r="N11" s="3" t="e">
        <f t="shared" ref="N11:N12" si="29">EXP(L11*((0.0133*(LN(M11))^2)-(0.0954*LN(M11))+0.297)-4.16)</f>
        <v>#DIV/0!</v>
      </c>
      <c r="O11" s="6">
        <f>Summary!$D$4</f>
        <v>0</v>
      </c>
      <c r="P11" s="3" t="e">
        <f t="shared" ref="P11:P12" si="30">(1.49/N11)*I11^(2/3)*O11^(1/2)</f>
        <v>#DIV/0!</v>
      </c>
      <c r="Q11" s="3">
        <f t="shared" ref="Q11:Q12" si="31">0.75*L11</f>
        <v>2.16</v>
      </c>
      <c r="R11" s="3">
        <f t="shared" si="21"/>
        <v>0</v>
      </c>
      <c r="S11" s="3" t="e">
        <f t="shared" ref="S11:S12" si="32">P11-K11</f>
        <v>#DIV/0!</v>
      </c>
      <c r="T11" s="1">
        <f>Summary!$D$8</f>
        <v>0</v>
      </c>
      <c r="U11" s="1" t="e">
        <f>62.4*C11*O11*(1-Summary!$D$7)*((0.0156/N11)^2)</f>
        <v>#DIV/0!</v>
      </c>
    </row>
    <row r="12" spans="1:21" x14ac:dyDescent="0.25">
      <c r="A12" t="e">
        <f t="shared" ref="A12:A14" si="33">A11-5</f>
        <v>#DIV/0!</v>
      </c>
      <c r="B12" s="4" t="e">
        <f t="shared" ref="B12:B14" si="34">SQRT((4*D12/E12))</f>
        <v>#DIV/0!</v>
      </c>
      <c r="C12" s="6">
        <f>Summary!$D$10</f>
        <v>0</v>
      </c>
      <c r="D12" s="3">
        <f t="shared" si="22"/>
        <v>0.5</v>
      </c>
      <c r="E12" s="3" t="e">
        <f t="shared" si="23"/>
        <v>#DIV/0!</v>
      </c>
      <c r="F12" s="5" t="e">
        <f t="shared" si="24"/>
        <v>#DIV/0!</v>
      </c>
      <c r="G12" s="5" t="e">
        <f t="shared" si="25"/>
        <v>#DIV/0!</v>
      </c>
      <c r="H12" s="5" t="e">
        <f t="shared" si="26"/>
        <v>#DIV/0!</v>
      </c>
      <c r="I12" s="3" t="e">
        <f t="shared" si="20"/>
        <v>#DIV/0!</v>
      </c>
      <c r="J12" s="6">
        <f>Summary!$D$3</f>
        <v>0</v>
      </c>
      <c r="K12" s="3" t="e">
        <f t="shared" si="27"/>
        <v>#DIV/0!</v>
      </c>
      <c r="L12" s="8">
        <f>Summary!$D$6</f>
        <v>2.88</v>
      </c>
      <c r="M12" s="3" t="e">
        <f t="shared" si="28"/>
        <v>#DIV/0!</v>
      </c>
      <c r="N12" s="3" t="e">
        <f t="shared" si="29"/>
        <v>#DIV/0!</v>
      </c>
      <c r="O12" s="6">
        <f>Summary!$D$4</f>
        <v>0</v>
      </c>
      <c r="P12" s="3" t="e">
        <f t="shared" si="30"/>
        <v>#DIV/0!</v>
      </c>
      <c r="Q12" s="3">
        <f t="shared" si="31"/>
        <v>2.16</v>
      </c>
      <c r="R12" s="3">
        <f t="shared" si="21"/>
        <v>0</v>
      </c>
      <c r="S12" s="3" t="e">
        <f t="shared" si="32"/>
        <v>#DIV/0!</v>
      </c>
      <c r="T12" s="1">
        <f>Summary!$D$8</f>
        <v>0</v>
      </c>
      <c r="U12" s="1" t="e">
        <f>62.4*C12*O12*(1-Summary!$D$7)*((0.0156/N12)^2)</f>
        <v>#DIV/0!</v>
      </c>
    </row>
    <row r="13" spans="1:21" x14ac:dyDescent="0.25">
      <c r="A13" t="e">
        <f t="shared" si="33"/>
        <v>#DIV/0!</v>
      </c>
      <c r="B13" s="7" t="e">
        <f t="shared" si="34"/>
        <v>#DIV/0!</v>
      </c>
      <c r="C13" s="6">
        <f>Summary!$D$10</f>
        <v>0</v>
      </c>
      <c r="D13" s="6">
        <f t="shared" si="22"/>
        <v>0.5</v>
      </c>
      <c r="E13" s="6" t="e">
        <f t="shared" si="23"/>
        <v>#DIV/0!</v>
      </c>
      <c r="F13" s="8" t="e">
        <f t="shared" si="24"/>
        <v>#DIV/0!</v>
      </c>
      <c r="G13" s="8" t="e">
        <f t="shared" si="25"/>
        <v>#DIV/0!</v>
      </c>
      <c r="H13" s="8" t="e">
        <f t="shared" si="26"/>
        <v>#DIV/0!</v>
      </c>
      <c r="I13" s="6" t="e">
        <f t="shared" si="20"/>
        <v>#DIV/0!</v>
      </c>
      <c r="J13" s="6">
        <f>Summary!$D$3</f>
        <v>0</v>
      </c>
      <c r="K13" s="6" t="e">
        <f t="shared" si="27"/>
        <v>#DIV/0!</v>
      </c>
      <c r="L13" s="8">
        <f>Summary!$D$6</f>
        <v>2.88</v>
      </c>
      <c r="M13" s="6" t="e">
        <f>K13*I13</f>
        <v>#DIV/0!</v>
      </c>
      <c r="N13" s="6" t="e">
        <f>EXP(L13*((0.0133*(LN(M13))^2)-(0.0954*LN(M13))+0.297)-4.16)</f>
        <v>#DIV/0!</v>
      </c>
      <c r="O13" s="6">
        <f>Summary!$D$4</f>
        <v>0</v>
      </c>
      <c r="P13" s="6" t="e">
        <f>(1.49/N13)*I13^(2/3)*O13^(1/2)</f>
        <v>#DIV/0!</v>
      </c>
      <c r="Q13" s="6">
        <f>0.75*L13</f>
        <v>2.16</v>
      </c>
      <c r="R13" s="6">
        <f t="shared" si="21"/>
        <v>0</v>
      </c>
      <c r="S13" s="6" t="e">
        <f>P13-K13</f>
        <v>#DIV/0!</v>
      </c>
      <c r="T13" s="1">
        <f>Summary!$D$8</f>
        <v>0</v>
      </c>
      <c r="U13" s="1" t="e">
        <f>62.4*C13*O13*(1-Summary!$D$7)*((0.0156/N13)^2)</f>
        <v>#DIV/0!</v>
      </c>
    </row>
    <row r="14" spans="1:21" x14ac:dyDescent="0.25">
      <c r="A14" t="e">
        <f t="shared" si="33"/>
        <v>#DIV/0!</v>
      </c>
      <c r="B14" s="4" t="e">
        <f t="shared" si="34"/>
        <v>#DIV/0!</v>
      </c>
      <c r="C14" s="6">
        <f>Summary!$D$10</f>
        <v>0</v>
      </c>
      <c r="D14" s="3">
        <f t="shared" si="22"/>
        <v>0.5</v>
      </c>
      <c r="E14" s="3" t="e">
        <f t="shared" si="23"/>
        <v>#DIV/0!</v>
      </c>
      <c r="F14" s="5" t="e">
        <f t="shared" si="24"/>
        <v>#DIV/0!</v>
      </c>
      <c r="G14" s="5" t="e">
        <f t="shared" si="25"/>
        <v>#DIV/0!</v>
      </c>
      <c r="H14" s="5" t="e">
        <f t="shared" si="26"/>
        <v>#DIV/0!</v>
      </c>
      <c r="I14" s="3" t="e">
        <f t="shared" si="20"/>
        <v>#DIV/0!</v>
      </c>
      <c r="J14" s="6">
        <f>Summary!$D$3</f>
        <v>0</v>
      </c>
      <c r="K14" s="3" t="e">
        <f t="shared" si="27"/>
        <v>#DIV/0!</v>
      </c>
      <c r="L14" s="8">
        <f>Summary!$D$6</f>
        <v>2.88</v>
      </c>
      <c r="M14" s="3" t="e">
        <f t="shared" ref="M14" si="35">K14*I14</f>
        <v>#DIV/0!</v>
      </c>
      <c r="N14" s="3" t="e">
        <f t="shared" ref="N14" si="36">EXP(L14*((0.0133*(LN(M14))^2)-(0.0954*LN(M14))+0.297)-4.16)</f>
        <v>#DIV/0!</v>
      </c>
      <c r="O14" s="6">
        <f>Summary!$D$4</f>
        <v>0</v>
      </c>
      <c r="P14" s="3" t="e">
        <f t="shared" ref="P14" si="37">(1.49/N14)*I14^(2/3)*O14^(1/2)</f>
        <v>#DIV/0!</v>
      </c>
      <c r="Q14" s="3">
        <f t="shared" ref="Q14" si="38">0.75*L14</f>
        <v>2.16</v>
      </c>
      <c r="R14" s="3">
        <f t="shared" si="21"/>
        <v>0</v>
      </c>
      <c r="S14" s="3" t="e">
        <f t="shared" ref="S14" si="39">P14-K14</f>
        <v>#DIV/0!</v>
      </c>
      <c r="T14" s="1">
        <f>Summary!$D$8</f>
        <v>0</v>
      </c>
      <c r="U14" s="1" t="e">
        <f>62.4*C14*O14*(1-Summary!$D$7)*((0.0156/N14)^2)</f>
        <v>#DIV/0!</v>
      </c>
    </row>
    <row r="16" spans="1:21" x14ac:dyDescent="0.25">
      <c r="A16" t="e">
        <f>IF(AND(S10&gt;0,S11&lt;0),A10,IF(AND(S11&gt;0,S12&lt;0),A11,IF(AND(S12&gt;0,S13&lt;0),A12,IF(AND(S13&gt;0,S14&lt;0),A13,A14))))</f>
        <v>#DIV/0!</v>
      </c>
      <c r="B16" s="7" t="e">
        <f>SQRT((4*D16/E16))</f>
        <v>#DIV/0!</v>
      </c>
      <c r="C16" s="6">
        <f>Summary!$D$10</f>
        <v>0</v>
      </c>
      <c r="D16" s="6">
        <f>C16+0.5</f>
        <v>0.5</v>
      </c>
      <c r="E16" s="6" t="e">
        <f>4*C16/A16^2</f>
        <v>#DIV/0!</v>
      </c>
      <c r="F16" s="8" t="e">
        <f>1/(E16*A16)</f>
        <v>#DIV/0!</v>
      </c>
      <c r="G16" s="8" t="e">
        <f>1/(E16*B16)</f>
        <v>#DIV/0!</v>
      </c>
      <c r="H16" s="8" t="e">
        <f>(C16^(3/2))/(0.75*SQRT(E16))</f>
        <v>#DIV/0!</v>
      </c>
      <c r="I16" s="6" t="e">
        <f t="shared" ref="I16:I20" si="40">H16/(SQRT(4*(C16^2)+(C16/E16))+(1/(2*E16))*LN(SQRT(4*E16*C16)+SQRT(4*E16*C16+1)))</f>
        <v>#DIV/0!</v>
      </c>
      <c r="J16" s="6">
        <f>Summary!$D$3</f>
        <v>0</v>
      </c>
      <c r="K16" s="6" t="e">
        <f>J16/H16</f>
        <v>#DIV/0!</v>
      </c>
      <c r="L16" s="8">
        <f>Summary!$D$6</f>
        <v>2.88</v>
      </c>
      <c r="M16" s="6" t="e">
        <f>K16*I16</f>
        <v>#DIV/0!</v>
      </c>
      <c r="N16" s="6" t="e">
        <f>EXP(L16*((0.0133*(LN(M16))^2)-(0.0954*LN(M16))+0.297)-4.16)</f>
        <v>#DIV/0!</v>
      </c>
      <c r="O16" s="6">
        <f>Summary!$D$4</f>
        <v>0</v>
      </c>
      <c r="P16" s="6" t="e">
        <f>(1.49/N16)*I16^(2/3)*O16^(1/2)</f>
        <v>#DIV/0!</v>
      </c>
      <c r="Q16" s="6">
        <f>0.75*L16</f>
        <v>2.16</v>
      </c>
      <c r="R16" s="6">
        <f t="shared" ref="R16:R20" si="41">62.4*C16*O16</f>
        <v>0</v>
      </c>
      <c r="S16" s="6" t="e">
        <f>P16-K16</f>
        <v>#DIV/0!</v>
      </c>
      <c r="T16" s="1">
        <f>Summary!$D$8</f>
        <v>0</v>
      </c>
      <c r="U16" s="1" t="e">
        <f>62.4*C16*O16*(1-Summary!$D$7)*((0.0156/N16)^2)</f>
        <v>#DIV/0!</v>
      </c>
    </row>
    <row r="17" spans="1:21" x14ac:dyDescent="0.25">
      <c r="A17" t="e">
        <f>A16-1</f>
        <v>#DIV/0!</v>
      </c>
      <c r="B17" s="4" t="e">
        <f>SQRT((4*D17/E17))</f>
        <v>#DIV/0!</v>
      </c>
      <c r="C17" s="6">
        <f>Summary!$D$10</f>
        <v>0</v>
      </c>
      <c r="D17" s="3">
        <f t="shared" ref="D17:D20" si="42">C17+0.5</f>
        <v>0.5</v>
      </c>
      <c r="E17" s="3" t="e">
        <f t="shared" ref="E17:E20" si="43">4*C17/A17^2</f>
        <v>#DIV/0!</v>
      </c>
      <c r="F17" s="5" t="e">
        <f t="shared" ref="F17:F20" si="44">1/(E17*A17)</f>
        <v>#DIV/0!</v>
      </c>
      <c r="G17" s="5" t="e">
        <f t="shared" ref="G17:G20" si="45">1/(E17*B17)</f>
        <v>#DIV/0!</v>
      </c>
      <c r="H17" s="5" t="e">
        <f t="shared" ref="H17:H20" si="46">(C17^(3/2))/(0.75*SQRT(E17))</f>
        <v>#DIV/0!</v>
      </c>
      <c r="I17" s="3" t="e">
        <f t="shared" si="40"/>
        <v>#DIV/0!</v>
      </c>
      <c r="J17" s="6">
        <f>Summary!$D$3</f>
        <v>0</v>
      </c>
      <c r="K17" s="3" t="e">
        <f t="shared" ref="K17:K20" si="47">J17/H17</f>
        <v>#DIV/0!</v>
      </c>
      <c r="L17" s="8">
        <f>Summary!$D$6</f>
        <v>2.88</v>
      </c>
      <c r="M17" s="3" t="e">
        <f t="shared" ref="M17:M18" si="48">K17*I17</f>
        <v>#DIV/0!</v>
      </c>
      <c r="N17" s="3" t="e">
        <f t="shared" ref="N17:N18" si="49">EXP(L17*((0.0133*(LN(M17))^2)-(0.0954*LN(M17))+0.297)-4.16)</f>
        <v>#DIV/0!</v>
      </c>
      <c r="O17" s="6">
        <f>Summary!$D$4</f>
        <v>0</v>
      </c>
      <c r="P17" s="3" t="e">
        <f t="shared" ref="P17:P18" si="50">(1.49/N17)*I17^(2/3)*O17^(1/2)</f>
        <v>#DIV/0!</v>
      </c>
      <c r="Q17" s="3">
        <f t="shared" ref="Q17:Q18" si="51">0.75*L17</f>
        <v>2.16</v>
      </c>
      <c r="R17" s="3">
        <f t="shared" si="41"/>
        <v>0</v>
      </c>
      <c r="S17" s="3" t="e">
        <f t="shared" ref="S17:S18" si="52">P17-K17</f>
        <v>#DIV/0!</v>
      </c>
      <c r="T17" s="1">
        <f>Summary!$D$8</f>
        <v>0</v>
      </c>
      <c r="U17" s="1" t="e">
        <f>62.4*C17*O17*(1-Summary!$D$7)*((0.0156/N17)^2)</f>
        <v>#DIV/0!</v>
      </c>
    </row>
    <row r="18" spans="1:21" x14ac:dyDescent="0.25">
      <c r="A18" t="e">
        <f t="shared" ref="A18:A20" si="53">A17-1</f>
        <v>#DIV/0!</v>
      </c>
      <c r="B18" s="4" t="e">
        <f t="shared" ref="B18:B20" si="54">SQRT((4*D18/E18))</f>
        <v>#DIV/0!</v>
      </c>
      <c r="C18" s="6">
        <f>Summary!$D$10</f>
        <v>0</v>
      </c>
      <c r="D18" s="3">
        <f t="shared" si="42"/>
        <v>0.5</v>
      </c>
      <c r="E18" s="3" t="e">
        <f t="shared" si="43"/>
        <v>#DIV/0!</v>
      </c>
      <c r="F18" s="5" t="e">
        <f t="shared" si="44"/>
        <v>#DIV/0!</v>
      </c>
      <c r="G18" s="5" t="e">
        <f t="shared" si="45"/>
        <v>#DIV/0!</v>
      </c>
      <c r="H18" s="5" t="e">
        <f t="shared" si="46"/>
        <v>#DIV/0!</v>
      </c>
      <c r="I18" s="3" t="e">
        <f t="shared" si="40"/>
        <v>#DIV/0!</v>
      </c>
      <c r="J18" s="6">
        <f>Summary!$D$3</f>
        <v>0</v>
      </c>
      <c r="K18" s="3" t="e">
        <f t="shared" si="47"/>
        <v>#DIV/0!</v>
      </c>
      <c r="L18" s="8">
        <f>Summary!$D$6</f>
        <v>2.88</v>
      </c>
      <c r="M18" s="3" t="e">
        <f t="shared" si="48"/>
        <v>#DIV/0!</v>
      </c>
      <c r="N18" s="3" t="e">
        <f t="shared" si="49"/>
        <v>#DIV/0!</v>
      </c>
      <c r="O18" s="6">
        <f>Summary!$D$4</f>
        <v>0</v>
      </c>
      <c r="P18" s="3" t="e">
        <f t="shared" si="50"/>
        <v>#DIV/0!</v>
      </c>
      <c r="Q18" s="3">
        <f t="shared" si="51"/>
        <v>2.16</v>
      </c>
      <c r="R18" s="3">
        <f t="shared" si="41"/>
        <v>0</v>
      </c>
      <c r="S18" s="3" t="e">
        <f t="shared" si="52"/>
        <v>#DIV/0!</v>
      </c>
      <c r="T18" s="1">
        <f>Summary!$D$8</f>
        <v>0</v>
      </c>
      <c r="U18" s="1" t="e">
        <f>62.4*C18*O18*(1-Summary!$D$7)*((0.0156/N18)^2)</f>
        <v>#DIV/0!</v>
      </c>
    </row>
    <row r="19" spans="1:21" x14ac:dyDescent="0.25">
      <c r="A19" t="e">
        <f t="shared" si="53"/>
        <v>#DIV/0!</v>
      </c>
      <c r="B19" s="7" t="e">
        <f t="shared" si="54"/>
        <v>#DIV/0!</v>
      </c>
      <c r="C19" s="6">
        <f>Summary!$D$10</f>
        <v>0</v>
      </c>
      <c r="D19" s="6">
        <f t="shared" si="42"/>
        <v>0.5</v>
      </c>
      <c r="E19" s="6" t="e">
        <f t="shared" si="43"/>
        <v>#DIV/0!</v>
      </c>
      <c r="F19" s="8" t="e">
        <f t="shared" si="44"/>
        <v>#DIV/0!</v>
      </c>
      <c r="G19" s="8" t="e">
        <f t="shared" si="45"/>
        <v>#DIV/0!</v>
      </c>
      <c r="H19" s="8" t="e">
        <f t="shared" si="46"/>
        <v>#DIV/0!</v>
      </c>
      <c r="I19" s="6" t="e">
        <f t="shared" si="40"/>
        <v>#DIV/0!</v>
      </c>
      <c r="J19" s="6">
        <f>Summary!$D$3</f>
        <v>0</v>
      </c>
      <c r="K19" s="6" t="e">
        <f t="shared" si="47"/>
        <v>#DIV/0!</v>
      </c>
      <c r="L19" s="8">
        <f>Summary!$D$6</f>
        <v>2.88</v>
      </c>
      <c r="M19" s="6" t="e">
        <f>K19*I19</f>
        <v>#DIV/0!</v>
      </c>
      <c r="N19" s="6" t="e">
        <f>EXP(L19*((0.0133*(LN(M19))^2)-(0.0954*LN(M19))+0.297)-4.16)</f>
        <v>#DIV/0!</v>
      </c>
      <c r="O19" s="6">
        <f>Summary!$D$4</f>
        <v>0</v>
      </c>
      <c r="P19" s="6" t="e">
        <f>(1.49/N19)*I19^(2/3)*O19^(1/2)</f>
        <v>#DIV/0!</v>
      </c>
      <c r="Q19" s="6">
        <f>0.75*L19</f>
        <v>2.16</v>
      </c>
      <c r="R19" s="6">
        <f t="shared" si="41"/>
        <v>0</v>
      </c>
      <c r="S19" s="6" t="e">
        <f>P19-K19</f>
        <v>#DIV/0!</v>
      </c>
      <c r="T19" s="1">
        <f>Summary!$D$8</f>
        <v>0</v>
      </c>
      <c r="U19" s="1" t="e">
        <f>62.4*C19*O19*(1-Summary!$D$7)*((0.0156/N19)^2)</f>
        <v>#DIV/0!</v>
      </c>
    </row>
    <row r="20" spans="1:21" x14ac:dyDescent="0.25">
      <c r="A20" t="e">
        <f t="shared" si="53"/>
        <v>#DIV/0!</v>
      </c>
      <c r="B20" s="4" t="e">
        <f t="shared" si="54"/>
        <v>#DIV/0!</v>
      </c>
      <c r="C20" s="6">
        <f>Summary!$D$10</f>
        <v>0</v>
      </c>
      <c r="D20" s="3">
        <f t="shared" si="42"/>
        <v>0.5</v>
      </c>
      <c r="E20" s="3" t="e">
        <f t="shared" si="43"/>
        <v>#DIV/0!</v>
      </c>
      <c r="F20" s="5" t="e">
        <f t="shared" si="44"/>
        <v>#DIV/0!</v>
      </c>
      <c r="G20" s="5" t="e">
        <f t="shared" si="45"/>
        <v>#DIV/0!</v>
      </c>
      <c r="H20" s="5" t="e">
        <f t="shared" si="46"/>
        <v>#DIV/0!</v>
      </c>
      <c r="I20" s="3" t="e">
        <f t="shared" si="40"/>
        <v>#DIV/0!</v>
      </c>
      <c r="J20" s="6">
        <f>Summary!$D$3</f>
        <v>0</v>
      </c>
      <c r="K20" s="3" t="e">
        <f t="shared" si="47"/>
        <v>#DIV/0!</v>
      </c>
      <c r="L20" s="8">
        <f>Summary!$D$6</f>
        <v>2.88</v>
      </c>
      <c r="M20" s="3" t="e">
        <f t="shared" ref="M20" si="55">K20*I20</f>
        <v>#DIV/0!</v>
      </c>
      <c r="N20" s="3" t="e">
        <f t="shared" ref="N20" si="56">EXP(L20*((0.0133*(LN(M20))^2)-(0.0954*LN(M20))+0.297)-4.16)</f>
        <v>#DIV/0!</v>
      </c>
      <c r="O20" s="6">
        <f>Summary!$D$4</f>
        <v>0</v>
      </c>
      <c r="P20" s="3" t="e">
        <f t="shared" ref="P20" si="57">(1.49/N20)*I20^(2/3)*O20^(1/2)</f>
        <v>#DIV/0!</v>
      </c>
      <c r="Q20" s="3">
        <f t="shared" ref="Q20" si="58">0.75*L20</f>
        <v>2.16</v>
      </c>
      <c r="R20" s="3">
        <f t="shared" si="41"/>
        <v>0</v>
      </c>
      <c r="S20" s="3" t="e">
        <f t="shared" ref="S20" si="59">P20-K20</f>
        <v>#DIV/0!</v>
      </c>
      <c r="T20" s="1">
        <f>Summary!$D$8</f>
        <v>0</v>
      </c>
      <c r="U20" s="1" t="e">
        <f>62.4*C20*O20*(1-Summary!$D$7)*((0.0156/N20)^2)</f>
        <v>#DIV/0!</v>
      </c>
    </row>
    <row r="21" spans="1:21" ht="15.75" thickBot="1" x14ac:dyDescent="0.3"/>
    <row r="22" spans="1:21" s="10" customFormat="1" ht="15.75" thickBot="1" x14ac:dyDescent="0.3">
      <c r="A22" s="39" t="e">
        <f>IF(AND(S16&gt;0,S17&lt;0),A16,IF(AND(S17&gt;0,S18&lt;0),A17,IF(AND(S18&gt;0,S19&lt;0),A18,IF(AND(S19&gt;0,S20&lt;0),A19,A20))))</f>
        <v>#DIV/0!</v>
      </c>
      <c r="B22" s="35" t="e">
        <f>SQRT((4*D22/E22))</f>
        <v>#DIV/0!</v>
      </c>
      <c r="C22" s="36">
        <f>Summary!$D$10</f>
        <v>0</v>
      </c>
      <c r="D22" s="36">
        <f>C22+0.5</f>
        <v>0.5</v>
      </c>
      <c r="E22" s="36" t="e">
        <f>4*C22/A22^2</f>
        <v>#DIV/0!</v>
      </c>
      <c r="F22" s="37" t="e">
        <f>1/(E22*A22)</f>
        <v>#DIV/0!</v>
      </c>
      <c r="G22" s="37" t="e">
        <f>1/(E22*B22)</f>
        <v>#DIV/0!</v>
      </c>
      <c r="H22" s="37" t="e">
        <f>(C22^(3/2))/(0.75*SQRT(E22))</f>
        <v>#DIV/0!</v>
      </c>
      <c r="I22" s="36" t="e">
        <f t="shared" ref="I22" si="60">H22/(SQRT(4*(C22^2)+(C22/E22))+(1/(2*E22))*LN(SQRT(4*E22*C22)+SQRT(4*E22*C22+1)))</f>
        <v>#DIV/0!</v>
      </c>
      <c r="J22" s="36">
        <f>Summary!$D$3</f>
        <v>0</v>
      </c>
      <c r="K22" s="36" t="e">
        <f>J22/H22</f>
        <v>#DIV/0!</v>
      </c>
      <c r="L22" s="37">
        <f>Summary!$D$6</f>
        <v>2.88</v>
      </c>
      <c r="M22" s="36" t="e">
        <f>K22*I22</f>
        <v>#DIV/0!</v>
      </c>
      <c r="N22" s="36" t="e">
        <f>EXP(L22*((0.0133*(LN(M22))^2)-(0.0954*LN(M22))+0.297)-4.16)</f>
        <v>#DIV/0!</v>
      </c>
      <c r="O22" s="36">
        <f>Summary!$D$4</f>
        <v>0</v>
      </c>
      <c r="P22" s="36" t="e">
        <f>(1.49/N22)*I22^(2/3)*O22^(1/2)</f>
        <v>#DIV/0!</v>
      </c>
      <c r="Q22" s="36">
        <f>0.75*L22</f>
        <v>2.16</v>
      </c>
      <c r="R22" s="36">
        <f t="shared" ref="R22" si="61">62.4*C22*O22</f>
        <v>0</v>
      </c>
      <c r="S22" s="36" t="e">
        <f>P22-K22</f>
        <v>#DIV/0!</v>
      </c>
      <c r="T22" s="36">
        <f>Summary!$D$8</f>
        <v>0</v>
      </c>
      <c r="U22" s="38" t="e">
        <f>62.4*C22*O22*(1-Summary!$D$7)*((0.0156/N22)^2)</f>
        <v>#DIV/0!</v>
      </c>
    </row>
  </sheetData>
  <conditionalFormatting sqref="U4:U8">
    <cfRule type="cellIs" dxfId="23" priority="19" operator="lessThan">
      <formula>$T$4</formula>
    </cfRule>
    <cfRule type="cellIs" dxfId="22" priority="20" operator="greaterThan">
      <formula>$T$4</formula>
    </cfRule>
  </conditionalFormatting>
  <conditionalFormatting sqref="U10:U14">
    <cfRule type="cellIs" dxfId="21" priority="17" operator="lessThan">
      <formula>$T$4</formula>
    </cfRule>
    <cfRule type="cellIs" dxfId="20" priority="18" operator="greaterThan">
      <formula>$T$4</formula>
    </cfRule>
  </conditionalFormatting>
  <conditionalFormatting sqref="U16:U20">
    <cfRule type="cellIs" dxfId="19" priority="15" operator="lessThan">
      <formula>$T$4</formula>
    </cfRule>
    <cfRule type="cellIs" dxfId="18" priority="16" operator="greaterThan">
      <formula>$T$4</formula>
    </cfRule>
  </conditionalFormatting>
  <conditionalFormatting sqref="U22">
    <cfRule type="cellIs" dxfId="17" priority="13" operator="lessThan">
      <formula>$T$4</formula>
    </cfRule>
    <cfRule type="cellIs" dxfId="16" priority="14" operator="greaterThan">
      <formula>$T$4</formula>
    </cfRule>
  </conditionalFormatting>
  <conditionalFormatting sqref="U10:U14">
    <cfRule type="cellIs" dxfId="15" priority="11" operator="lessThan">
      <formula>$T$4</formula>
    </cfRule>
    <cfRule type="cellIs" dxfId="14" priority="12" operator="greaterThan">
      <formula>$T$4</formula>
    </cfRule>
  </conditionalFormatting>
  <conditionalFormatting sqref="U16:U20">
    <cfRule type="cellIs" dxfId="13" priority="9" operator="lessThan">
      <formula>$T$4</formula>
    </cfRule>
    <cfRule type="cellIs" dxfId="12" priority="10" operator="greaterThan">
      <formula>$T$4</formula>
    </cfRule>
  </conditionalFormatting>
  <conditionalFormatting sqref="U22">
    <cfRule type="cellIs" dxfId="11" priority="7" operator="lessThan">
      <formula>$T$4</formula>
    </cfRule>
    <cfRule type="cellIs" dxfId="10" priority="8" operator="greaterThan">
      <formula>$T$4</formula>
    </cfRule>
  </conditionalFormatting>
  <conditionalFormatting sqref="U10:U14">
    <cfRule type="cellIs" dxfId="9" priority="5" operator="lessThan">
      <formula>$T$4</formula>
    </cfRule>
    <cfRule type="cellIs" dxfId="8" priority="6" operator="greaterThan">
      <formula>$T$4</formula>
    </cfRule>
  </conditionalFormatting>
  <conditionalFormatting sqref="U16:U20">
    <cfRule type="cellIs" dxfId="7" priority="3" operator="lessThan">
      <formula>$T$4</formula>
    </cfRule>
    <cfRule type="cellIs" dxfId="6" priority="4" operator="greaterThan">
      <formula>$T$4</formula>
    </cfRule>
  </conditionalFormatting>
  <conditionalFormatting sqref="U22">
    <cfRule type="cellIs" dxfId="5" priority="1" operator="lessThan">
      <formula>$T$4</formula>
    </cfRule>
    <cfRule type="cellIs" dxfId="4" priority="2" operator="greaterThan">
      <formula>$T$4</formula>
    </cfRule>
  </conditionalFormatting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9"/>
  <sheetViews>
    <sheetView workbookViewId="0">
      <selection activeCell="G26" sqref="G26"/>
    </sheetView>
  </sheetViews>
  <sheetFormatPr defaultRowHeight="15" x14ac:dyDescent="0.25"/>
  <sheetData>
    <row r="2" spans="1:21" x14ac:dyDescent="0.25">
      <c r="A2" t="s">
        <v>17</v>
      </c>
    </row>
    <row r="3" spans="1:21" x14ac:dyDescent="0.25">
      <c r="A3" t="s">
        <v>10</v>
      </c>
      <c r="B3" t="s">
        <v>15</v>
      </c>
      <c r="C3" t="s">
        <v>2</v>
      </c>
      <c r="D3" t="s">
        <v>14</v>
      </c>
      <c r="E3" t="s">
        <v>13</v>
      </c>
      <c r="F3" t="s">
        <v>3</v>
      </c>
      <c r="G3" t="s">
        <v>16</v>
      </c>
      <c r="H3" t="s">
        <v>0</v>
      </c>
      <c r="I3" t="s">
        <v>1</v>
      </c>
      <c r="J3" t="s">
        <v>4</v>
      </c>
      <c r="K3" t="s">
        <v>8</v>
      </c>
      <c r="L3" t="s">
        <v>24</v>
      </c>
      <c r="M3" t="s">
        <v>6</v>
      </c>
      <c r="N3" t="s">
        <v>5</v>
      </c>
      <c r="O3" t="s">
        <v>11</v>
      </c>
      <c r="P3" t="s">
        <v>7</v>
      </c>
      <c r="Q3" t="s">
        <v>9</v>
      </c>
      <c r="R3" t="s">
        <v>10</v>
      </c>
      <c r="S3" t="s">
        <v>12</v>
      </c>
      <c r="T3" t="s">
        <v>18</v>
      </c>
      <c r="U3" t="s">
        <v>19</v>
      </c>
    </row>
    <row r="4" spans="1:21" x14ac:dyDescent="0.25">
      <c r="A4" s="1" t="e">
        <f>Summary!$D$12</f>
        <v>#DIV/0!</v>
      </c>
      <c r="B4" s="2" t="e">
        <f>SQRT((4*D4/E4))</f>
        <v>#DIV/0!</v>
      </c>
      <c r="C4" s="1">
        <v>5</v>
      </c>
      <c r="D4" s="1">
        <f>C4+0.5</f>
        <v>5.5</v>
      </c>
      <c r="E4" s="1" t="e">
        <f>4*C4/A4^2</f>
        <v>#DIV/0!</v>
      </c>
      <c r="F4" s="1" t="e">
        <f>1/(E4*A4)</f>
        <v>#DIV/0!</v>
      </c>
      <c r="G4" s="13" t="e">
        <f>1/(E4*B4)</f>
        <v>#DIV/0!</v>
      </c>
      <c r="H4" s="1" t="e">
        <f>(C4^(3/2))/(0.75*SQRT(E4))</f>
        <v>#DIV/0!</v>
      </c>
      <c r="I4" s="1" t="e">
        <f t="shared" ref="I4:I8" si="0">H4/(SQRT(4*(C4^2)+(C4/E4))+(1/(2*E4))*LN(SQRT(4*E4*C4)+SQRT(4*E4*C4+1)))</f>
        <v>#DIV/0!</v>
      </c>
      <c r="J4" s="1">
        <f>Summary!$D$17</f>
        <v>0</v>
      </c>
      <c r="K4" s="1" t="e">
        <f t="shared" ref="K4:K8" si="1">J4/H4</f>
        <v>#DIV/0!</v>
      </c>
      <c r="L4" s="13">
        <f>Summary!$D$20</f>
        <v>2.88</v>
      </c>
      <c r="M4" s="1" t="e">
        <f>K4*I4</f>
        <v>#DIV/0!</v>
      </c>
      <c r="N4" s="1" t="e">
        <f>EXP(L4*((0.0133*(LN(M4))^2)-(0.0954*LN(M4))+0.297)-4.16)</f>
        <v>#DIV/0!</v>
      </c>
      <c r="O4" s="1">
        <f>Summary!$D$18</f>
        <v>0</v>
      </c>
      <c r="P4" s="1" t="e">
        <f>(1.49/N4)*I4^(2/3)*O4^(1/2)</f>
        <v>#DIV/0!</v>
      </c>
      <c r="Q4" s="1">
        <f>0.75*L4</f>
        <v>2.16</v>
      </c>
      <c r="R4" s="1">
        <f t="shared" ref="R4:R8" si="2">62.4*C4*O4</f>
        <v>0</v>
      </c>
      <c r="S4" s="1" t="e">
        <f>P4-K4</f>
        <v>#DIV/0!</v>
      </c>
      <c r="T4" s="1">
        <f>Summary!$D$22</f>
        <v>0</v>
      </c>
      <c r="U4" s="1" t="e">
        <f>62.4*C4*O4*(1-Summary!$D$21)*((0.0156/N4)^2)</f>
        <v>#DIV/0!</v>
      </c>
    </row>
    <row r="5" spans="1:21" x14ac:dyDescent="0.25">
      <c r="A5" s="1" t="e">
        <f>Summary!$D$12</f>
        <v>#DIV/0!</v>
      </c>
      <c r="B5" s="2" t="e">
        <f>SQRT((4*D5/E5))</f>
        <v>#DIV/0!</v>
      </c>
      <c r="C5" s="1">
        <v>4</v>
      </c>
      <c r="D5" s="1">
        <f t="shared" ref="D5:D8" si="3">C5+0.5</f>
        <v>4.5</v>
      </c>
      <c r="E5" s="1" t="e">
        <f t="shared" ref="E5:E8" si="4">4*C5/A5^2</f>
        <v>#DIV/0!</v>
      </c>
      <c r="F5" s="1" t="e">
        <f t="shared" ref="F5:F8" si="5">1/(E5*A5)</f>
        <v>#DIV/0!</v>
      </c>
      <c r="G5" s="1" t="e">
        <f t="shared" ref="G5:G8" si="6">1/(E5*B5)</f>
        <v>#DIV/0!</v>
      </c>
      <c r="H5" s="1" t="e">
        <f t="shared" ref="H5:H8" si="7">(C5^(3/2))/(0.75*SQRT(E5))</f>
        <v>#DIV/0!</v>
      </c>
      <c r="I5" s="1" t="e">
        <f t="shared" si="0"/>
        <v>#DIV/0!</v>
      </c>
      <c r="J5" s="1">
        <f>Summary!$D$17</f>
        <v>0</v>
      </c>
      <c r="K5" s="1" t="e">
        <f t="shared" si="1"/>
        <v>#DIV/0!</v>
      </c>
      <c r="L5" s="13">
        <f>Summary!$D$20</f>
        <v>2.88</v>
      </c>
      <c r="M5" s="1" t="e">
        <f t="shared" ref="M5:M6" si="8">K5*I5</f>
        <v>#DIV/0!</v>
      </c>
      <c r="N5" s="1" t="e">
        <f t="shared" ref="N5:N6" si="9">EXP(L5*((0.0133*(LN(M5))^2)-(0.0954*LN(M5))+0.297)-4.16)</f>
        <v>#DIV/0!</v>
      </c>
      <c r="O5" s="1">
        <f>Summary!$D$18</f>
        <v>0</v>
      </c>
      <c r="P5" s="1" t="e">
        <f t="shared" ref="P5:P6" si="10">(1.49/N5)*I5^(2/3)*O5^(1/2)</f>
        <v>#DIV/0!</v>
      </c>
      <c r="Q5" s="1">
        <f t="shared" ref="Q5:Q6" si="11">0.75*L5</f>
        <v>2.16</v>
      </c>
      <c r="R5" s="1">
        <f t="shared" si="2"/>
        <v>0</v>
      </c>
      <c r="S5" s="1" t="e">
        <f t="shared" ref="S5:S6" si="12">P5-K5</f>
        <v>#DIV/0!</v>
      </c>
      <c r="T5" s="1">
        <f>Summary!$D$22</f>
        <v>0</v>
      </c>
      <c r="U5" s="1" t="e">
        <f>62.4*C5*O5*(1-Summary!$D$21)*((0.0156/N5)^2)</f>
        <v>#DIV/0!</v>
      </c>
    </row>
    <row r="6" spans="1:21" x14ac:dyDescent="0.25">
      <c r="A6" s="1" t="e">
        <f>Summary!$D$12</f>
        <v>#DIV/0!</v>
      </c>
      <c r="B6" s="2" t="e">
        <f t="shared" ref="B6:B8" si="13">SQRT((4*D6/E6))</f>
        <v>#DIV/0!</v>
      </c>
      <c r="C6" s="1">
        <v>3</v>
      </c>
      <c r="D6" s="1">
        <f t="shared" si="3"/>
        <v>3.5</v>
      </c>
      <c r="E6" s="1" t="e">
        <f t="shared" si="4"/>
        <v>#DIV/0!</v>
      </c>
      <c r="F6" s="1" t="e">
        <f t="shared" si="5"/>
        <v>#DIV/0!</v>
      </c>
      <c r="G6" s="13" t="e">
        <f t="shared" si="6"/>
        <v>#DIV/0!</v>
      </c>
      <c r="H6" s="1" t="e">
        <f t="shared" si="7"/>
        <v>#DIV/0!</v>
      </c>
      <c r="I6" s="1" t="e">
        <f t="shared" si="0"/>
        <v>#DIV/0!</v>
      </c>
      <c r="J6" s="1">
        <f>Summary!$D$17</f>
        <v>0</v>
      </c>
      <c r="K6" s="1" t="e">
        <f t="shared" si="1"/>
        <v>#DIV/0!</v>
      </c>
      <c r="L6" s="13">
        <f>Summary!$D$20</f>
        <v>2.88</v>
      </c>
      <c r="M6" s="1" t="e">
        <f t="shared" si="8"/>
        <v>#DIV/0!</v>
      </c>
      <c r="N6" s="1" t="e">
        <f t="shared" si="9"/>
        <v>#DIV/0!</v>
      </c>
      <c r="O6" s="1">
        <f>Summary!$D$18</f>
        <v>0</v>
      </c>
      <c r="P6" s="1" t="e">
        <f t="shared" si="10"/>
        <v>#DIV/0!</v>
      </c>
      <c r="Q6" s="1">
        <f t="shared" si="11"/>
        <v>2.16</v>
      </c>
      <c r="R6" s="1">
        <f t="shared" si="2"/>
        <v>0</v>
      </c>
      <c r="S6" s="1" t="e">
        <f t="shared" si="12"/>
        <v>#DIV/0!</v>
      </c>
      <c r="T6" s="1">
        <f>Summary!$D$22</f>
        <v>0</v>
      </c>
      <c r="U6" s="1" t="e">
        <f>62.4*C6*O6*(1-Summary!$D$21)*((0.0156/N6)^2)</f>
        <v>#DIV/0!</v>
      </c>
    </row>
    <row r="7" spans="1:21" x14ac:dyDescent="0.25">
      <c r="A7" s="1" t="e">
        <f>Summary!$D$12</f>
        <v>#DIV/0!</v>
      </c>
      <c r="B7" s="2" t="e">
        <f t="shared" si="13"/>
        <v>#DIV/0!</v>
      </c>
      <c r="C7" s="1">
        <v>2</v>
      </c>
      <c r="D7" s="1">
        <f t="shared" si="3"/>
        <v>2.5</v>
      </c>
      <c r="E7" s="1" t="e">
        <f t="shared" si="4"/>
        <v>#DIV/0!</v>
      </c>
      <c r="F7" s="1" t="e">
        <f t="shared" si="5"/>
        <v>#DIV/0!</v>
      </c>
      <c r="G7" s="13" t="e">
        <f t="shared" si="6"/>
        <v>#DIV/0!</v>
      </c>
      <c r="H7" s="1" t="e">
        <f t="shared" si="7"/>
        <v>#DIV/0!</v>
      </c>
      <c r="I7" s="1" t="e">
        <f t="shared" si="0"/>
        <v>#DIV/0!</v>
      </c>
      <c r="J7" s="1">
        <f>Summary!$D$17</f>
        <v>0</v>
      </c>
      <c r="K7" s="1" t="e">
        <f t="shared" si="1"/>
        <v>#DIV/0!</v>
      </c>
      <c r="L7" s="13">
        <f>Summary!$D$20</f>
        <v>2.88</v>
      </c>
      <c r="M7" s="1" t="e">
        <f>K7*I7</f>
        <v>#DIV/0!</v>
      </c>
      <c r="N7" s="1" t="e">
        <f>EXP(L7*((0.0133*(LN(M7))^2)-(0.0954*LN(M7))+0.297)-4.16)</f>
        <v>#DIV/0!</v>
      </c>
      <c r="O7" s="1">
        <f>Summary!$D$18</f>
        <v>0</v>
      </c>
      <c r="P7" s="1" t="e">
        <f>(1.49/N7)*I7^(2/3)*O7^(1/2)</f>
        <v>#DIV/0!</v>
      </c>
      <c r="Q7" s="1">
        <f>0.75*L7</f>
        <v>2.16</v>
      </c>
      <c r="R7" s="1">
        <f t="shared" si="2"/>
        <v>0</v>
      </c>
      <c r="S7" s="1" t="e">
        <f>P7-K7</f>
        <v>#DIV/0!</v>
      </c>
      <c r="T7" s="1">
        <f>Summary!$D$22</f>
        <v>0</v>
      </c>
      <c r="U7" s="1" t="e">
        <f>62.4*C7*O7*(1-Summary!$D$21)*((0.0156/N7)^2)</f>
        <v>#DIV/0!</v>
      </c>
    </row>
    <row r="8" spans="1:21" x14ac:dyDescent="0.25">
      <c r="A8" s="1" t="e">
        <f>Summary!$D$12</f>
        <v>#DIV/0!</v>
      </c>
      <c r="B8" s="2" t="e">
        <f t="shared" si="13"/>
        <v>#DIV/0!</v>
      </c>
      <c r="C8" s="1">
        <v>1</v>
      </c>
      <c r="D8" s="1">
        <f t="shared" si="3"/>
        <v>1.5</v>
      </c>
      <c r="E8" s="1" t="e">
        <f t="shared" si="4"/>
        <v>#DIV/0!</v>
      </c>
      <c r="F8" s="1" t="e">
        <f t="shared" si="5"/>
        <v>#DIV/0!</v>
      </c>
      <c r="G8" s="13" t="e">
        <f t="shared" si="6"/>
        <v>#DIV/0!</v>
      </c>
      <c r="H8" s="1" t="e">
        <f t="shared" si="7"/>
        <v>#DIV/0!</v>
      </c>
      <c r="I8" s="1" t="e">
        <f t="shared" si="0"/>
        <v>#DIV/0!</v>
      </c>
      <c r="J8" s="1">
        <f>Summary!$D$17</f>
        <v>0</v>
      </c>
      <c r="K8" s="1" t="e">
        <f t="shared" si="1"/>
        <v>#DIV/0!</v>
      </c>
      <c r="L8" s="13">
        <f>Summary!$D$20</f>
        <v>2.88</v>
      </c>
      <c r="M8" s="1" t="e">
        <f t="shared" ref="M8" si="14">K8*I8</f>
        <v>#DIV/0!</v>
      </c>
      <c r="N8" s="1" t="e">
        <f t="shared" ref="N8" si="15">EXP(L8*((0.0133*(LN(M8))^2)-(0.0954*LN(M8))+0.297)-4.16)</f>
        <v>#DIV/0!</v>
      </c>
      <c r="O8" s="1">
        <f>Summary!$D$18</f>
        <v>0</v>
      </c>
      <c r="P8" s="1" t="e">
        <f t="shared" ref="P8" si="16">(1.49/N8)*I8^(2/3)*O8^(1/2)</f>
        <v>#DIV/0!</v>
      </c>
      <c r="Q8" s="1">
        <f t="shared" ref="Q8" si="17">0.75*L8</f>
        <v>2.16</v>
      </c>
      <c r="R8" s="1">
        <f t="shared" si="2"/>
        <v>0</v>
      </c>
      <c r="S8" s="1" t="e">
        <f t="shared" ref="S8" si="18">P8-K8</f>
        <v>#DIV/0!</v>
      </c>
      <c r="T8" s="1">
        <f>Summary!$D$22</f>
        <v>0</v>
      </c>
      <c r="U8" s="1" t="e">
        <f>62.4*C8*O8*(1-Summary!$D$21)*((0.0156/N8)^2)</f>
        <v>#DIV/0!</v>
      </c>
    </row>
    <row r="10" spans="1:21" x14ac:dyDescent="0.25">
      <c r="A10" s="1" t="e">
        <f>Summary!$D$12</f>
        <v>#DIV/0!</v>
      </c>
      <c r="B10" s="2" t="e">
        <f>SQRT((4*D10/E10))</f>
        <v>#DIV/0!</v>
      </c>
      <c r="C10" s="1" t="e">
        <f>IF(AND(S4&gt;0,S5&lt;0),C4,IF(AND(S5&gt;0,S6&lt;0),C5,IF(AND(S6&gt;0,S7&lt;0),C6,IF(AND(S7&gt;0,S8&lt;0),C7,C8))))</f>
        <v>#DIV/0!</v>
      </c>
      <c r="D10" s="1" t="e">
        <f>C10+0.5</f>
        <v>#DIV/0!</v>
      </c>
      <c r="E10" s="1" t="e">
        <f>4*C10/A10^2</f>
        <v>#DIV/0!</v>
      </c>
      <c r="F10" s="1" t="e">
        <f>1/(E10*A10)</f>
        <v>#DIV/0!</v>
      </c>
      <c r="G10" s="13" t="e">
        <f>1/(E10*B10)</f>
        <v>#DIV/0!</v>
      </c>
      <c r="H10" s="1" t="e">
        <f>(C10^(3/2))/(0.75*SQRT(E10))</f>
        <v>#DIV/0!</v>
      </c>
      <c r="I10" s="1" t="e">
        <f t="shared" ref="I10:I14" si="19">H10/(SQRT(4*(C10^2)+(C10/E10))+(1/(2*E10))*LN(SQRT(4*E10*C10)+SQRT(4*E10*C10+1)))</f>
        <v>#DIV/0!</v>
      </c>
      <c r="J10" s="1">
        <f>Summary!$D$17</f>
        <v>0</v>
      </c>
      <c r="K10" s="1" t="e">
        <f t="shared" ref="K10:K14" si="20">J10/H10</f>
        <v>#DIV/0!</v>
      </c>
      <c r="L10" s="13">
        <f>Summary!$D$20</f>
        <v>2.88</v>
      </c>
      <c r="M10" s="1" t="e">
        <f>K10*I10</f>
        <v>#DIV/0!</v>
      </c>
      <c r="N10" s="1" t="e">
        <f>EXP(L10*((0.0133*(LN(M10))^2)-(0.0954*LN(M10))+0.297)-4.16)</f>
        <v>#DIV/0!</v>
      </c>
      <c r="O10" s="1">
        <f>Summary!$D$18</f>
        <v>0</v>
      </c>
      <c r="P10" s="1" t="e">
        <f>(1.49/N10)*I10^(2/3)*O10^(1/2)</f>
        <v>#DIV/0!</v>
      </c>
      <c r="Q10" s="1">
        <f>0.75*L10</f>
        <v>2.16</v>
      </c>
      <c r="R10" s="1" t="e">
        <f t="shared" ref="R10:R14" si="21">62.4*C10*O10</f>
        <v>#DIV/0!</v>
      </c>
      <c r="S10" s="1" t="e">
        <f>P10-K10</f>
        <v>#DIV/0!</v>
      </c>
      <c r="T10" s="1">
        <f>Summary!$D$22</f>
        <v>0</v>
      </c>
      <c r="U10" s="1" t="e">
        <f>62.4*C10*O10*(1-Summary!$D$21)*((0.0156/N10)^2)</f>
        <v>#DIV/0!</v>
      </c>
    </row>
    <row r="11" spans="1:21" x14ac:dyDescent="0.25">
      <c r="A11" s="1" t="e">
        <f>Summary!$D$12</f>
        <v>#DIV/0!</v>
      </c>
      <c r="B11" s="2" t="e">
        <f>SQRT((4*D11/E11))</f>
        <v>#DIV/0!</v>
      </c>
      <c r="C11" s="1" t="e">
        <f>C10-0.2</f>
        <v>#DIV/0!</v>
      </c>
      <c r="D11" s="1" t="e">
        <f t="shared" ref="D11:D14" si="22">C11+0.5</f>
        <v>#DIV/0!</v>
      </c>
      <c r="E11" s="1" t="e">
        <f t="shared" ref="E11:E14" si="23">4*C11/A11^2</f>
        <v>#DIV/0!</v>
      </c>
      <c r="F11" s="1" t="e">
        <f t="shared" ref="F11:F14" si="24">1/(E11*A11)</f>
        <v>#DIV/0!</v>
      </c>
      <c r="G11" s="1" t="e">
        <f t="shared" ref="G11:G14" si="25">1/(E11*B11)</f>
        <v>#DIV/0!</v>
      </c>
      <c r="H11" s="1" t="e">
        <f t="shared" ref="H11:H14" si="26">(C11^(3/2))/(0.75*SQRT(E11))</f>
        <v>#DIV/0!</v>
      </c>
      <c r="I11" s="1" t="e">
        <f t="shared" si="19"/>
        <v>#DIV/0!</v>
      </c>
      <c r="J11" s="1">
        <f>Summary!$D$17</f>
        <v>0</v>
      </c>
      <c r="K11" s="1" t="e">
        <f t="shared" si="20"/>
        <v>#DIV/0!</v>
      </c>
      <c r="L11" s="13">
        <f>Summary!$D$20</f>
        <v>2.88</v>
      </c>
      <c r="M11" s="1" t="e">
        <f t="shared" ref="M11:M12" si="27">K11*I11</f>
        <v>#DIV/0!</v>
      </c>
      <c r="N11" s="1" t="e">
        <f t="shared" ref="N11:N12" si="28">EXP(L11*((0.0133*(LN(M11))^2)-(0.0954*LN(M11))+0.297)-4.16)</f>
        <v>#DIV/0!</v>
      </c>
      <c r="O11" s="1">
        <f>Summary!$D$18</f>
        <v>0</v>
      </c>
      <c r="P11" s="1" t="e">
        <f t="shared" ref="P11:P12" si="29">(1.49/N11)*I11^(2/3)*O11^(1/2)</f>
        <v>#DIV/0!</v>
      </c>
      <c r="Q11" s="1">
        <f t="shared" ref="Q11:Q12" si="30">0.75*L11</f>
        <v>2.16</v>
      </c>
      <c r="R11" s="1" t="e">
        <f t="shared" si="21"/>
        <v>#DIV/0!</v>
      </c>
      <c r="S11" s="1" t="e">
        <f t="shared" ref="S11:S12" si="31">P11-K11</f>
        <v>#DIV/0!</v>
      </c>
      <c r="T11" s="1">
        <f>Summary!$D$22</f>
        <v>0</v>
      </c>
      <c r="U11" s="1" t="e">
        <f>62.4*C11*O11*(1-Summary!$D$21)*((0.0156/N11)^2)</f>
        <v>#DIV/0!</v>
      </c>
    </row>
    <row r="12" spans="1:21" x14ac:dyDescent="0.25">
      <c r="A12" s="1" t="e">
        <f>Summary!$D$12</f>
        <v>#DIV/0!</v>
      </c>
      <c r="B12" s="2" t="e">
        <f t="shared" ref="B12:B14" si="32">SQRT((4*D12/E12))</f>
        <v>#DIV/0!</v>
      </c>
      <c r="C12" s="1" t="e">
        <f t="shared" ref="C12:C14" si="33">C11-0.2</f>
        <v>#DIV/0!</v>
      </c>
      <c r="D12" s="1" t="e">
        <f t="shared" si="22"/>
        <v>#DIV/0!</v>
      </c>
      <c r="E12" s="1" t="e">
        <f t="shared" si="23"/>
        <v>#DIV/0!</v>
      </c>
      <c r="F12" s="1" t="e">
        <f t="shared" si="24"/>
        <v>#DIV/0!</v>
      </c>
      <c r="G12" s="13" t="e">
        <f t="shared" si="25"/>
        <v>#DIV/0!</v>
      </c>
      <c r="H12" s="1" t="e">
        <f t="shared" si="26"/>
        <v>#DIV/0!</v>
      </c>
      <c r="I12" s="1" t="e">
        <f t="shared" si="19"/>
        <v>#DIV/0!</v>
      </c>
      <c r="J12" s="1">
        <f>Summary!$D$17</f>
        <v>0</v>
      </c>
      <c r="K12" s="1" t="e">
        <f t="shared" si="20"/>
        <v>#DIV/0!</v>
      </c>
      <c r="L12" s="13">
        <f>Summary!$D$20</f>
        <v>2.88</v>
      </c>
      <c r="M12" s="1" t="e">
        <f t="shared" si="27"/>
        <v>#DIV/0!</v>
      </c>
      <c r="N12" s="1" t="e">
        <f t="shared" si="28"/>
        <v>#DIV/0!</v>
      </c>
      <c r="O12" s="1">
        <f>Summary!$D$18</f>
        <v>0</v>
      </c>
      <c r="P12" s="1" t="e">
        <f t="shared" si="29"/>
        <v>#DIV/0!</v>
      </c>
      <c r="Q12" s="1">
        <f t="shared" si="30"/>
        <v>2.16</v>
      </c>
      <c r="R12" s="1" t="e">
        <f t="shared" si="21"/>
        <v>#DIV/0!</v>
      </c>
      <c r="S12" s="1" t="e">
        <f t="shared" si="31"/>
        <v>#DIV/0!</v>
      </c>
      <c r="T12" s="1">
        <f>Summary!$D$22</f>
        <v>0</v>
      </c>
      <c r="U12" s="1" t="e">
        <f>62.4*C12*O12*(1-Summary!$D$21)*((0.0156/N12)^2)</f>
        <v>#DIV/0!</v>
      </c>
    </row>
    <row r="13" spans="1:21" x14ac:dyDescent="0.25">
      <c r="A13" s="1" t="e">
        <f>Summary!$D$12</f>
        <v>#DIV/0!</v>
      </c>
      <c r="B13" s="2" t="e">
        <f t="shared" si="32"/>
        <v>#DIV/0!</v>
      </c>
      <c r="C13" s="1" t="e">
        <f t="shared" si="33"/>
        <v>#DIV/0!</v>
      </c>
      <c r="D13" s="1" t="e">
        <f t="shared" si="22"/>
        <v>#DIV/0!</v>
      </c>
      <c r="E13" s="1" t="e">
        <f t="shared" si="23"/>
        <v>#DIV/0!</v>
      </c>
      <c r="F13" s="1" t="e">
        <f t="shared" si="24"/>
        <v>#DIV/0!</v>
      </c>
      <c r="G13" s="13" t="e">
        <f t="shared" si="25"/>
        <v>#DIV/0!</v>
      </c>
      <c r="H13" s="1" t="e">
        <f t="shared" si="26"/>
        <v>#DIV/0!</v>
      </c>
      <c r="I13" s="1" t="e">
        <f t="shared" si="19"/>
        <v>#DIV/0!</v>
      </c>
      <c r="J13" s="1">
        <f>Summary!$D$17</f>
        <v>0</v>
      </c>
      <c r="K13" s="1" t="e">
        <f t="shared" si="20"/>
        <v>#DIV/0!</v>
      </c>
      <c r="L13" s="13">
        <f>Summary!$D$20</f>
        <v>2.88</v>
      </c>
      <c r="M13" s="1" t="e">
        <f>K13*I13</f>
        <v>#DIV/0!</v>
      </c>
      <c r="N13" s="1" t="e">
        <f>EXP(L13*((0.0133*(LN(M13))^2)-(0.0954*LN(M13))+0.297)-4.16)</f>
        <v>#DIV/0!</v>
      </c>
      <c r="O13" s="1">
        <f>Summary!$D$18</f>
        <v>0</v>
      </c>
      <c r="P13" s="1" t="e">
        <f>(1.49/N13)*I13^(2/3)*O13^(1/2)</f>
        <v>#DIV/0!</v>
      </c>
      <c r="Q13" s="1">
        <f>0.75*L13</f>
        <v>2.16</v>
      </c>
      <c r="R13" s="1" t="e">
        <f t="shared" si="21"/>
        <v>#DIV/0!</v>
      </c>
      <c r="S13" s="1" t="e">
        <f>P13-K13</f>
        <v>#DIV/0!</v>
      </c>
      <c r="T13" s="1">
        <f>Summary!$D$22</f>
        <v>0</v>
      </c>
      <c r="U13" s="1" t="e">
        <f>62.4*C13*O13*(1-Summary!$D$21)*((0.0156/N13)^2)</f>
        <v>#DIV/0!</v>
      </c>
    </row>
    <row r="14" spans="1:21" x14ac:dyDescent="0.25">
      <c r="A14" s="1" t="e">
        <f>Summary!$D$12</f>
        <v>#DIV/0!</v>
      </c>
      <c r="B14" s="2" t="e">
        <f t="shared" si="32"/>
        <v>#DIV/0!</v>
      </c>
      <c r="C14" s="1" t="e">
        <f t="shared" si="33"/>
        <v>#DIV/0!</v>
      </c>
      <c r="D14" s="1" t="e">
        <f t="shared" si="22"/>
        <v>#DIV/0!</v>
      </c>
      <c r="E14" s="1" t="e">
        <f t="shared" si="23"/>
        <v>#DIV/0!</v>
      </c>
      <c r="F14" s="1" t="e">
        <f t="shared" si="24"/>
        <v>#DIV/0!</v>
      </c>
      <c r="G14" s="13" t="e">
        <f t="shared" si="25"/>
        <v>#DIV/0!</v>
      </c>
      <c r="H14" s="1" t="e">
        <f t="shared" si="26"/>
        <v>#DIV/0!</v>
      </c>
      <c r="I14" s="1" t="e">
        <f t="shared" si="19"/>
        <v>#DIV/0!</v>
      </c>
      <c r="J14" s="1">
        <f>Summary!$D$17</f>
        <v>0</v>
      </c>
      <c r="K14" s="1" t="e">
        <f t="shared" si="20"/>
        <v>#DIV/0!</v>
      </c>
      <c r="L14" s="13">
        <f>Summary!$D$20</f>
        <v>2.88</v>
      </c>
      <c r="M14" s="1" t="e">
        <f t="shared" ref="M14" si="34">K14*I14</f>
        <v>#DIV/0!</v>
      </c>
      <c r="N14" s="1" t="e">
        <f t="shared" ref="N14" si="35">EXP(L14*((0.0133*(LN(M14))^2)-(0.0954*LN(M14))+0.297)-4.16)</f>
        <v>#DIV/0!</v>
      </c>
      <c r="O14" s="1">
        <f>Summary!$D$18</f>
        <v>0</v>
      </c>
      <c r="P14" s="1" t="e">
        <f t="shared" ref="P14" si="36">(1.49/N14)*I14^(2/3)*O14^(1/2)</f>
        <v>#DIV/0!</v>
      </c>
      <c r="Q14" s="1">
        <f t="shared" ref="Q14" si="37">0.75*L14</f>
        <v>2.16</v>
      </c>
      <c r="R14" s="1" t="e">
        <f t="shared" si="21"/>
        <v>#DIV/0!</v>
      </c>
      <c r="S14" s="1" t="e">
        <f t="shared" ref="S14" si="38">P14-K14</f>
        <v>#DIV/0!</v>
      </c>
      <c r="T14" s="1">
        <f>Summary!$D$22</f>
        <v>0</v>
      </c>
      <c r="U14" s="1" t="e">
        <f>62.4*C14*O14*(1-Summary!$D$21)*((0.0156/N14)^2)</f>
        <v>#DIV/0!</v>
      </c>
    </row>
    <row r="16" spans="1:21" x14ac:dyDescent="0.25">
      <c r="A16" s="1" t="e">
        <f>Summary!$D$12</f>
        <v>#DIV/0!</v>
      </c>
      <c r="B16" s="2" t="e">
        <f>SQRT((4*D16/E16))</f>
        <v>#DIV/0!</v>
      </c>
      <c r="C16" s="1" t="e">
        <f>IF(AND(S10&gt;0,S11&lt;0),C10,IF(AND(S11&gt;0,S12&lt;0),C11,IF(AND(S12&gt;0,S13&lt;0),C12,IF(AND(S13&gt;0,S14&lt;0),C13,C14))))</f>
        <v>#DIV/0!</v>
      </c>
      <c r="D16" s="1" t="e">
        <f>C16+0.5</f>
        <v>#DIV/0!</v>
      </c>
      <c r="E16" s="1" t="e">
        <f>4*C16/A16^2</f>
        <v>#DIV/0!</v>
      </c>
      <c r="F16" s="1" t="e">
        <f>1/(E16*A16)</f>
        <v>#DIV/0!</v>
      </c>
      <c r="G16" s="13" t="e">
        <f>1/(E16*B16)</f>
        <v>#DIV/0!</v>
      </c>
      <c r="H16" s="1" t="e">
        <f>(C16^(3/2))/(0.75*SQRT(E16))</f>
        <v>#DIV/0!</v>
      </c>
      <c r="I16" s="1" t="e">
        <f t="shared" ref="I16:I17" si="39">H16/(SQRT(4*(C16^2)+(C16/E16))+(1/(2*E16))*LN(SQRT(4*E16*C16)+SQRT(4*E16*C16+1)))</f>
        <v>#DIV/0!</v>
      </c>
      <c r="J16" s="1">
        <f>Summary!$D$17</f>
        <v>0</v>
      </c>
      <c r="K16" s="1" t="e">
        <f t="shared" ref="K16:K17" si="40">J16/H16</f>
        <v>#DIV/0!</v>
      </c>
      <c r="L16" s="13">
        <f>Summary!$D$20</f>
        <v>2.88</v>
      </c>
      <c r="M16" s="1" t="e">
        <f>K16*I16</f>
        <v>#DIV/0!</v>
      </c>
      <c r="N16" s="1" t="e">
        <f>EXP(L16*((0.0133*(LN(M16))^2)-(0.0954*LN(M16))+0.297)-4.16)</f>
        <v>#DIV/0!</v>
      </c>
      <c r="O16" s="1">
        <f>Summary!$D$18</f>
        <v>0</v>
      </c>
      <c r="P16" s="1" t="e">
        <f>(1.49/N16)*I16^(2/3)*O16^(1/2)</f>
        <v>#DIV/0!</v>
      </c>
      <c r="Q16" s="1">
        <f>0.75*L16</f>
        <v>2.16</v>
      </c>
      <c r="R16" s="1" t="e">
        <f t="shared" ref="R16:R17" si="41">62.4*C16*O16</f>
        <v>#DIV/0!</v>
      </c>
      <c r="S16" s="1" t="e">
        <f>P16-K16</f>
        <v>#DIV/0!</v>
      </c>
      <c r="T16" s="1">
        <f>Summary!$D$22</f>
        <v>0</v>
      </c>
      <c r="U16" s="1" t="e">
        <f>62.4*C16*O16*(1-Summary!$D$21)*((0.0156/N16)^2)</f>
        <v>#DIV/0!</v>
      </c>
    </row>
    <row r="17" spans="1:21" x14ac:dyDescent="0.25">
      <c r="A17" s="1" t="e">
        <f>Summary!$D$12</f>
        <v>#DIV/0!</v>
      </c>
      <c r="B17" s="2" t="e">
        <f>SQRT((4*D17/E17))</f>
        <v>#DIV/0!</v>
      </c>
      <c r="C17" s="1" t="e">
        <f>C16-0.1</f>
        <v>#DIV/0!</v>
      </c>
      <c r="D17" s="1" t="e">
        <f t="shared" ref="D17" si="42">C17+0.5</f>
        <v>#DIV/0!</v>
      </c>
      <c r="E17" s="1" t="e">
        <f t="shared" ref="E17" si="43">4*C17/A17^2</f>
        <v>#DIV/0!</v>
      </c>
      <c r="F17" s="1" t="e">
        <f t="shared" ref="F17" si="44">1/(E17*A17)</f>
        <v>#DIV/0!</v>
      </c>
      <c r="G17" s="1" t="e">
        <f t="shared" ref="G17" si="45">1/(E17*B17)</f>
        <v>#DIV/0!</v>
      </c>
      <c r="H17" s="1" t="e">
        <f t="shared" ref="H17" si="46">(C17^(3/2))/(0.75*SQRT(E17))</f>
        <v>#DIV/0!</v>
      </c>
      <c r="I17" s="1" t="e">
        <f t="shared" si="39"/>
        <v>#DIV/0!</v>
      </c>
      <c r="J17" s="1">
        <f>Summary!$D$17</f>
        <v>0</v>
      </c>
      <c r="K17" s="1" t="e">
        <f t="shared" si="40"/>
        <v>#DIV/0!</v>
      </c>
      <c r="L17" s="13">
        <f>Summary!$D$20</f>
        <v>2.88</v>
      </c>
      <c r="M17" s="1" t="e">
        <f t="shared" ref="M17" si="47">K17*I17</f>
        <v>#DIV/0!</v>
      </c>
      <c r="N17" s="1" t="e">
        <f t="shared" ref="N17" si="48">EXP(L17*((0.0133*(LN(M17))^2)-(0.0954*LN(M17))+0.297)-4.16)</f>
        <v>#DIV/0!</v>
      </c>
      <c r="O17" s="1">
        <f>Summary!$D$18</f>
        <v>0</v>
      </c>
      <c r="P17" s="1" t="e">
        <f t="shared" ref="P17" si="49">(1.49/N17)*I17^(2/3)*O17^(1/2)</f>
        <v>#DIV/0!</v>
      </c>
      <c r="Q17" s="1">
        <f t="shared" ref="Q17" si="50">0.75*L17</f>
        <v>2.16</v>
      </c>
      <c r="R17" s="1" t="e">
        <f t="shared" si="41"/>
        <v>#DIV/0!</v>
      </c>
      <c r="S17" s="1" t="e">
        <f t="shared" ref="S17" si="51">P17-K17</f>
        <v>#DIV/0!</v>
      </c>
      <c r="T17" s="1">
        <f>Summary!$D$22</f>
        <v>0</v>
      </c>
      <c r="U17" s="1" t="e">
        <f>62.4*C17*O17*(1-Summary!$D$21)*((0.0156/N17)^2)</f>
        <v>#DIV/0!</v>
      </c>
    </row>
    <row r="18" spans="1:21" ht="15.75" thickBot="1" x14ac:dyDescent="0.3"/>
    <row r="19" spans="1:21" ht="15.75" thickBot="1" x14ac:dyDescent="0.3">
      <c r="A19" s="34" t="e">
        <f>Summary!$D$12</f>
        <v>#DIV/0!</v>
      </c>
      <c r="B19" s="35" t="e">
        <f>SQRT((4*D19/E19))</f>
        <v>#DIV/0!</v>
      </c>
      <c r="C19" s="36" t="e">
        <f>IF(AND(S13&gt;0,S14&lt;0),C13,IF(AND(S14&gt;0,S15&lt;0),C14,IF(AND(S15&gt;0,S16&lt;0),C15,IF(AND(S16&gt;0,S17&lt;0),C16,C17))))</f>
        <v>#DIV/0!</v>
      </c>
      <c r="D19" s="36" t="e">
        <f>C19+0.5</f>
        <v>#DIV/0!</v>
      </c>
      <c r="E19" s="36" t="e">
        <f>4*C19/A19^2</f>
        <v>#DIV/0!</v>
      </c>
      <c r="F19" s="36" t="e">
        <f>1/(E19*A19)</f>
        <v>#DIV/0!</v>
      </c>
      <c r="G19" s="37" t="e">
        <f>1/(E19*B19)</f>
        <v>#DIV/0!</v>
      </c>
      <c r="H19" s="36" t="e">
        <f>(C19^(3/2))/(0.75*SQRT(E19))</f>
        <v>#DIV/0!</v>
      </c>
      <c r="I19" s="36" t="e">
        <f t="shared" ref="I19" si="52">H19/(SQRT(4*(C19^2)+(C19/E19))+(1/(2*E19))*LN(SQRT(4*E19*C19)+SQRT(4*E19*C19+1)))</f>
        <v>#DIV/0!</v>
      </c>
      <c r="J19" s="36">
        <f>Summary!$D$17</f>
        <v>0</v>
      </c>
      <c r="K19" s="36" t="e">
        <f t="shared" ref="K19" si="53">J19/H19</f>
        <v>#DIV/0!</v>
      </c>
      <c r="L19" s="37">
        <f>Summary!$D$20</f>
        <v>2.88</v>
      </c>
      <c r="M19" s="36" t="e">
        <f>K19*I19</f>
        <v>#DIV/0!</v>
      </c>
      <c r="N19" s="36" t="e">
        <f>EXP(L19*((0.0133*(LN(M19))^2)-(0.0954*LN(M19))+0.297)-4.16)</f>
        <v>#DIV/0!</v>
      </c>
      <c r="O19" s="36">
        <f>Summary!$D$18</f>
        <v>0</v>
      </c>
      <c r="P19" s="36" t="e">
        <f>(1.49/N19)*I19^(2/3)*O19^(1/2)</f>
        <v>#DIV/0!</v>
      </c>
      <c r="Q19" s="36">
        <f>0.75*L19</f>
        <v>2.16</v>
      </c>
      <c r="R19" s="36" t="e">
        <f t="shared" ref="R19" si="54">62.4*C19*O19</f>
        <v>#DIV/0!</v>
      </c>
      <c r="S19" s="36" t="e">
        <f>P19-K19</f>
        <v>#DIV/0!</v>
      </c>
      <c r="T19" s="36">
        <f>Summary!$D$22</f>
        <v>0</v>
      </c>
      <c r="U19" s="38" t="e">
        <f>62.4*C19*O19*(1-Summary!$D$21)*((0.0156/N19)^2)</f>
        <v>#DIV/0!</v>
      </c>
    </row>
  </sheetData>
  <conditionalFormatting sqref="R4:R8 R10:R14 R16:R17">
    <cfRule type="cellIs" dxfId="3" priority="7" operator="greaterThan">
      <formula>$Q$4</formula>
    </cfRule>
    <cfRule type="cellIs" dxfId="2" priority="8" operator="lessThan">
      <formula>$Q$4</formula>
    </cfRule>
  </conditionalFormatting>
  <conditionalFormatting sqref="R19">
    <cfRule type="cellIs" dxfId="1" priority="1" operator="greaterThan">
      <formula>$Q$4</formula>
    </cfRule>
    <cfRule type="cellIs" dxfId="0" priority="2" operator="lessThan">
      <formula>$Q$4</formula>
    </cfRule>
  </conditionalFormatting>
  <pageMargins left="0.7" right="0.7" top="0.75" bottom="0.75" header="0.3" footer="0.3"/>
  <pageSetup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CEA365559B87439F3C27B29474A827" ma:contentTypeVersion="0" ma:contentTypeDescription="Create a new document." ma:contentTypeScope="" ma:versionID="d4d8fae1db3dd353cdfe02377902d2d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276fbc7de9a4060e54dafc32f34ca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C578F2-F3E3-45CE-9093-FAF78DA070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6A4A4E-2BF9-4662-AFC2-D5F98866A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0AD402-8237-44C8-A0DB-A4CA336ED52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VelocityCalc</vt:lpstr>
      <vt:lpstr>Depth Calc</vt:lpstr>
      <vt:lpstr>'Depth Calc'!Print_Area</vt:lpstr>
      <vt:lpstr>VelocityCalc!Print_Area</vt:lpstr>
    </vt:vector>
  </TitlesOfParts>
  <Company>USDA OCIO-ITS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anton.schaeffer</dc:creator>
  <cp:lastModifiedBy>brm72597</cp:lastModifiedBy>
  <cp:lastPrinted>2012-11-26T19:22:58Z</cp:lastPrinted>
  <dcterms:created xsi:type="dcterms:W3CDTF">2012-11-05T19:50:07Z</dcterms:created>
  <dcterms:modified xsi:type="dcterms:W3CDTF">2017-08-28T12:35:01Z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0x0101005BCEA365559B87439F3C27B29474A827</vt:lpwstr>
  </property>
</Properties>
</file>